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ycja\Desktop\"/>
    </mc:Choice>
  </mc:AlternateContent>
  <bookViews>
    <workbookView xWindow="0" yWindow="0" windowWidth="28800" windowHeight="12435" activeTab="2"/>
  </bookViews>
  <sheets>
    <sheet name="Plan na 2022" sheetId="6" r:id="rId1"/>
    <sheet name="Plan na 2023" sheetId="7" r:id="rId2"/>
    <sheet name="Plan na 2024" sheetId="8" r:id="rId3"/>
  </sheets>
  <definedNames>
    <definedName name="_xlnm.Print_Area" localSheetId="0">'Plan na 2022'!$C$1:$O$47</definedName>
    <definedName name="_xlnm.Print_Area" localSheetId="1">'Plan na 2023'!$C$1:$O$34</definedName>
    <definedName name="_xlnm.Print_Area" localSheetId="2">'Plan na 2024'!$C$1:$O$41</definedName>
  </definedNames>
  <calcPr calcId="152511"/>
</workbook>
</file>

<file path=xl/calcChain.xml><?xml version="1.0" encoding="utf-8"?>
<calcChain xmlns="http://schemas.openxmlformats.org/spreadsheetml/2006/main">
  <c r="M32" i="8" l="1"/>
  <c r="L32" i="8"/>
  <c r="K32" i="8" s="1"/>
  <c r="L7" i="8"/>
  <c r="K7" i="8" s="1"/>
  <c r="L13" i="8"/>
  <c r="K13" i="8" s="1"/>
  <c r="L23" i="8"/>
  <c r="K23" i="8" s="1"/>
  <c r="L30" i="8"/>
  <c r="K30" i="8" s="1"/>
  <c r="L36" i="8"/>
  <c r="K36" i="8" s="1"/>
  <c r="L38" i="8"/>
  <c r="K38" i="8" s="1"/>
  <c r="L39" i="8"/>
  <c r="K39" i="8" s="1"/>
  <c r="L41" i="8"/>
  <c r="K41" i="8" s="1"/>
  <c r="L4" i="8"/>
  <c r="K4" i="8" s="1"/>
  <c r="N31" i="8"/>
  <c r="L31" i="8" s="1"/>
  <c r="K31" i="8" s="1"/>
  <c r="N33" i="8"/>
  <c r="L33" i="8" s="1"/>
  <c r="K33" i="8" s="1"/>
  <c r="N34" i="8" l="1"/>
  <c r="L34" i="8" s="1"/>
  <c r="K34" i="8" s="1"/>
  <c r="M29" i="8"/>
  <c r="K29" i="8" s="1"/>
  <c r="J29" i="8" s="1"/>
  <c r="M40" i="8" l="1"/>
  <c r="L40" i="8" s="1"/>
  <c r="K40" i="8" s="1"/>
  <c r="M27" i="8"/>
  <c r="N28" i="8"/>
  <c r="L28" i="8" s="1"/>
  <c r="K28" i="8" s="1"/>
  <c r="N37" i="8"/>
  <c r="L37" i="8" s="1"/>
  <c r="K37" i="8" s="1"/>
  <c r="N27" i="8"/>
  <c r="L27" i="8" l="1"/>
  <c r="K27" i="8" s="1"/>
  <c r="N35" i="8"/>
  <c r="L35" i="8" s="1"/>
  <c r="K35" i="8" s="1"/>
  <c r="O22" i="8" l="1"/>
  <c r="L22" i="8" s="1"/>
  <c r="K22" i="8" s="1"/>
  <c r="O17" i="8"/>
  <c r="L17" i="8" s="1"/>
  <c r="K17" i="8" s="1"/>
  <c r="O24" i="8"/>
  <c r="L24" i="8" s="1"/>
  <c r="K24" i="8" s="1"/>
  <c r="O15" i="8"/>
  <c r="L15" i="8" s="1"/>
  <c r="K15" i="8" s="1"/>
  <c r="O9" i="8"/>
  <c r="L9" i="8" s="1"/>
  <c r="K9" i="8" s="1"/>
  <c r="O6" i="8"/>
  <c r="L6" i="8" s="1"/>
  <c r="K6" i="8" s="1"/>
  <c r="O16" i="8"/>
  <c r="L16" i="8" s="1"/>
  <c r="K16" i="8" s="1"/>
  <c r="O14" i="8"/>
  <c r="L14" i="8" s="1"/>
  <c r="K14" i="8" s="1"/>
  <c r="O26" i="8"/>
  <c r="L26" i="8" s="1"/>
  <c r="K26" i="8" s="1"/>
  <c r="O20" i="8"/>
  <c r="L20" i="8" s="1"/>
  <c r="K20" i="8" s="1"/>
  <c r="O25" i="8"/>
  <c r="L25" i="8" s="1"/>
  <c r="K25" i="8" s="1"/>
  <c r="O21" i="8"/>
  <c r="L21" i="8" s="1"/>
  <c r="K21" i="8" s="1"/>
  <c r="O12" i="8"/>
  <c r="L12" i="8" s="1"/>
  <c r="K12" i="8" s="1"/>
  <c r="O11" i="8"/>
  <c r="L11" i="8" s="1"/>
  <c r="K11" i="8" s="1"/>
  <c r="O8" i="8"/>
  <c r="L8" i="8" s="1"/>
  <c r="K8" i="8" s="1"/>
  <c r="O10" i="8"/>
  <c r="L10" i="8" s="1"/>
  <c r="K10" i="8" s="1"/>
  <c r="O5" i="8"/>
  <c r="L5" i="8" s="1"/>
  <c r="K5" i="8" s="1"/>
  <c r="O19" i="8"/>
  <c r="L19" i="8" s="1"/>
  <c r="K19" i="8" s="1"/>
  <c r="O18" i="8"/>
  <c r="L18" i="8" s="1"/>
  <c r="K18" i="8" s="1"/>
  <c r="O31" i="7" l="1"/>
  <c r="L31" i="7"/>
  <c r="J31" i="7" l="1"/>
  <c r="J34" i="7"/>
  <c r="J32" i="7"/>
  <c r="L26" i="7" l="1"/>
  <c r="J33" i="7"/>
  <c r="N23" i="7"/>
  <c r="N21" i="7"/>
  <c r="N6" i="7"/>
  <c r="L25" i="7"/>
  <c r="M25" i="7"/>
  <c r="N13" i="7"/>
  <c r="N14" i="7"/>
  <c r="N19" i="7"/>
  <c r="N20" i="7"/>
  <c r="N11" i="7"/>
  <c r="N10" i="7"/>
  <c r="N8" i="7"/>
  <c r="N15" i="7"/>
  <c r="N16" i="7"/>
  <c r="N17" i="7"/>
  <c r="N24" i="7"/>
  <c r="N18" i="7"/>
  <c r="N9" i="7"/>
  <c r="N5" i="7"/>
  <c r="M24" i="7" l="1"/>
  <c r="L24" i="7" s="1"/>
  <c r="M23" i="7"/>
  <c r="L23" i="7" s="1"/>
  <c r="M22" i="7"/>
  <c r="L22" i="7" s="1"/>
  <c r="M21" i="7"/>
  <c r="L21" i="7" s="1"/>
  <c r="M20" i="7"/>
  <c r="L20" i="7" s="1"/>
  <c r="M19" i="7"/>
  <c r="L19" i="7" s="1"/>
  <c r="M18" i="7"/>
  <c r="L18" i="7" s="1"/>
  <c r="M17" i="7"/>
  <c r="L17" i="7" s="1"/>
  <c r="M16" i="7"/>
  <c r="L16" i="7" s="1"/>
  <c r="M15" i="7"/>
  <c r="L15" i="7" s="1"/>
  <c r="M14" i="7"/>
  <c r="M13" i="7"/>
  <c r="L13" i="7" s="1"/>
  <c r="M12" i="7"/>
  <c r="L12" i="7" s="1"/>
  <c r="M11" i="7"/>
  <c r="L11" i="7" s="1"/>
  <c r="M10" i="7"/>
  <c r="L10" i="7" s="1"/>
  <c r="M9" i="7"/>
  <c r="L9" i="7" s="1"/>
  <c r="M8" i="7"/>
  <c r="L8" i="7" s="1"/>
  <c r="M7" i="7"/>
  <c r="L7" i="7" s="1"/>
  <c r="M6" i="7"/>
  <c r="L6" i="7" s="1"/>
  <c r="M5" i="7"/>
  <c r="L5" i="7" s="1"/>
  <c r="M4" i="7"/>
  <c r="L4" i="7" s="1"/>
  <c r="M14" i="6" l="1"/>
  <c r="N14" i="6"/>
  <c r="N15" i="6"/>
  <c r="M5" i="6" l="1"/>
  <c r="M7" i="6"/>
  <c r="M27" i="6" l="1"/>
  <c r="L27" i="6" s="1"/>
  <c r="M24" i="6"/>
  <c r="L24" i="6" s="1"/>
  <c r="L7" i="6"/>
  <c r="M4" i="6"/>
  <c r="L4" i="6" s="1"/>
  <c r="N25" i="6"/>
  <c r="M25" i="6" s="1"/>
  <c r="L25" i="6" s="1"/>
  <c r="N21" i="6"/>
  <c r="M21" i="6" s="1"/>
  <c r="M15" i="6"/>
  <c r="L15" i="6" s="1"/>
  <c r="N9" i="6"/>
  <c r="M9" i="6" s="1"/>
  <c r="L9" i="6" s="1"/>
  <c r="N13" i="6"/>
  <c r="M13" i="6" s="1"/>
  <c r="L13" i="6" s="1"/>
  <c r="N17" i="6"/>
  <c r="M17" i="6" s="1"/>
  <c r="L17" i="6" s="1"/>
  <c r="N26" i="6"/>
  <c r="M26" i="6" s="1"/>
  <c r="L26" i="6" s="1"/>
  <c r="N19" i="6"/>
  <c r="M19" i="6" s="1"/>
  <c r="N20" i="6"/>
  <c r="M20" i="6" s="1"/>
  <c r="L20" i="6" s="1"/>
  <c r="N12" i="6"/>
  <c r="M12" i="6" s="1"/>
  <c r="L12" i="6" s="1"/>
  <c r="N11" i="6"/>
  <c r="M11" i="6" s="1"/>
  <c r="N10" i="6"/>
  <c r="M10" i="6" s="1"/>
  <c r="L10" i="6" s="1"/>
  <c r="N6" i="6"/>
  <c r="M6" i="6" s="1"/>
  <c r="L6" i="6" s="1"/>
  <c r="N8" i="6"/>
  <c r="N23" i="6"/>
  <c r="N22" i="6"/>
  <c r="M22" i="6" s="1"/>
  <c r="N18" i="6"/>
  <c r="M18" i="6" s="1"/>
  <c r="L18" i="6" s="1"/>
  <c r="N16" i="6"/>
  <c r="M16" i="6" s="1"/>
  <c r="L16" i="6" s="1"/>
  <c r="L5" i="6"/>
  <c r="J39" i="6"/>
  <c r="M23" i="6" l="1"/>
  <c r="L23" i="6" s="1"/>
  <c r="L21" i="6"/>
  <c r="M8" i="6"/>
  <c r="L8" i="6" s="1"/>
  <c r="L22" i="6"/>
  <c r="L19" i="6"/>
  <c r="L11" i="6"/>
  <c r="J33" i="6"/>
  <c r="J28" i="6" l="1"/>
  <c r="J31" i="6"/>
  <c r="J29" i="6"/>
</calcChain>
</file>

<file path=xl/sharedStrings.xml><?xml version="1.0" encoding="utf-8"?>
<sst xmlns="http://schemas.openxmlformats.org/spreadsheetml/2006/main" count="543" uniqueCount="155">
  <si>
    <t>Przedmiot zamówienia</t>
  </si>
  <si>
    <t xml:space="preserve">Rodzaj zamówienia </t>
  </si>
  <si>
    <t>Przewidywany tryb lub innej procedury udzielenia zamówienia</t>
  </si>
  <si>
    <t xml:space="preserve">Przewidywany termin wszczęcia postępowania </t>
  </si>
  <si>
    <t>LP</t>
  </si>
  <si>
    <t>usługa</t>
  </si>
  <si>
    <t>dostawa</t>
  </si>
  <si>
    <t>Animator</t>
  </si>
  <si>
    <t>Korepetycja- pedagodzy</t>
  </si>
  <si>
    <t>III-XII 2022</t>
  </si>
  <si>
    <t>Psycholog- grupa wsparcia</t>
  </si>
  <si>
    <t>Wycieczka 4 dniowa</t>
  </si>
  <si>
    <t>VIII-IX 2022</t>
  </si>
  <si>
    <t>Piknik rodzinny catering</t>
  </si>
  <si>
    <t>Kolacja świąteczna-catering</t>
  </si>
  <si>
    <t>VI 2022</t>
  </si>
  <si>
    <t>XII 2022</t>
  </si>
  <si>
    <t>postępowanie w trybie podstawowym na podstawie art. 275 pkt. 1</t>
  </si>
  <si>
    <t xml:space="preserve">rozenznaie rynku Regulamin i Wytyczne </t>
  </si>
  <si>
    <t>baza konkurencyjności Wytyczne</t>
  </si>
  <si>
    <t>netto Projekt Bliżej Siebie 2 po zmianie w 2022</t>
  </si>
  <si>
    <t>Regulamin do 130 tyś. zł netto</t>
  </si>
  <si>
    <t>Psycholog- terapia rodzinna</t>
  </si>
  <si>
    <t>Psychiatra</t>
  </si>
  <si>
    <t>Szkolenie dla pracowników i koordynatorów</t>
  </si>
  <si>
    <t>Rehabilitacja</t>
  </si>
  <si>
    <t>Superwizja</t>
  </si>
  <si>
    <t xml:space="preserve">Prenumeraty czasopism </t>
  </si>
  <si>
    <t>I-XII</t>
  </si>
  <si>
    <t>Art. Biurowe</t>
  </si>
  <si>
    <t xml:space="preserve">Wyposażenie apteczki </t>
  </si>
  <si>
    <t xml:space="preserve">Środki czystości </t>
  </si>
  <si>
    <t>Pozostałe zakupy</t>
  </si>
  <si>
    <t xml:space="preserve">Zakup wody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</si>
  <si>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</si>
  <si>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</si>
  <si>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</si>
  <si>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</si>
  <si>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</si>
  <si>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</si>
  <si>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</si>
  <si>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</si>
  <si>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</si>
  <si>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</si>
  <si>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</si>
  <si>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</si>
  <si>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</si>
  <si>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</si>
  <si>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</si>
  <si>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</si>
  <si>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</si>
  <si>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</si>
  <si>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</si>
  <si>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</si>
  <si>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</si>
  <si>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</si>
  <si>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Wynagrodzenie konsultanta PZP  12 m-ce</t>
  </si>
  <si>
    <t>Dostawa energii elektrycznej</t>
  </si>
  <si>
    <t xml:space="preserve">Energia cieplna </t>
  </si>
  <si>
    <t xml:space="preserve">Usługi telekomunikacyjne </t>
  </si>
  <si>
    <t>Usługi szkoleniowe</t>
  </si>
  <si>
    <t>Usługi sprzątające</t>
  </si>
  <si>
    <t>Usługi bankowe</t>
  </si>
  <si>
    <t>Dzierżawa ksero</t>
  </si>
  <si>
    <t>Opłaty pocztowe</t>
  </si>
  <si>
    <t>Opłaty licencji programów</t>
  </si>
  <si>
    <t>Monitoring</t>
  </si>
  <si>
    <t>Przeglądy budynku</t>
  </si>
  <si>
    <t>Ubezpieczenie wyposażenia</t>
  </si>
  <si>
    <t>Inne usługi</t>
  </si>
  <si>
    <t>Wywóz śmieci</t>
  </si>
  <si>
    <t>Wyposażenie</t>
  </si>
  <si>
    <t>Nagrody</t>
  </si>
  <si>
    <t>Dojazd</t>
  </si>
  <si>
    <t>Paczki mikołajkowe</t>
  </si>
  <si>
    <t>Materiały do dekoracji</t>
  </si>
  <si>
    <t xml:space="preserve">Animator </t>
  </si>
  <si>
    <t>netto</t>
  </si>
  <si>
    <t>suma</t>
  </si>
  <si>
    <t xml:space="preserve"> Orientacyjna wartości zamówienia
Budżet Ogólny</t>
  </si>
  <si>
    <t>Bliżej Siebie 2</t>
  </si>
  <si>
    <t>Przygotowanie dokumentacji oraz nadzór nad realizacją</t>
  </si>
  <si>
    <t>IX -XII 2022</t>
  </si>
  <si>
    <t>Środki dezynfekujące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</si>
  <si>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</si>
  <si>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</si>
  <si>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</si>
  <si>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</si>
  <si>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</si>
  <si>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</si>
  <si>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</si>
  <si>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</si>
  <si>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</si>
  <si>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</si>
  <si>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</si>
  <si>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</si>
  <si>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</si>
  <si>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</si>
  <si>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</si>
  <si>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</si>
  <si>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</si>
  <si>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</si>
  <si>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</si>
  <si>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</si>
  <si>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</si>
  <si>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Usługi specjalistów inne niż wymienione wyżej</t>
  </si>
  <si>
    <t>Usługi specjaliatów - lekarze ZOON</t>
  </si>
  <si>
    <t>44.</t>
  </si>
  <si>
    <t>Utworzenie mieszkania chronionego treningowego</t>
  </si>
  <si>
    <t>PLAN ZAMÓWIEŃ PUBLICZNYCH NA ROK 2022</t>
  </si>
  <si>
    <t>+500</t>
  </si>
  <si>
    <t>+5500</t>
  </si>
  <si>
    <t>+200</t>
  </si>
  <si>
    <t>-6200</t>
  </si>
  <si>
    <t>270oszcz.</t>
  </si>
  <si>
    <t>-35755</t>
  </si>
  <si>
    <t>?</t>
  </si>
  <si>
    <t>I-III</t>
  </si>
  <si>
    <t>I-III 2023</t>
  </si>
  <si>
    <t xml:space="preserve">Zakończenie projektu - catering </t>
  </si>
  <si>
    <t>Przygotowanie publikacji w formie foto książki</t>
  </si>
  <si>
    <t>Wynagrodzenie konsultanta PZP  3 m-ce</t>
  </si>
  <si>
    <t>Media</t>
  </si>
  <si>
    <t>PLAN ZAMÓWIEŃ PUBLICZNYCH NA ROK 2023</t>
  </si>
  <si>
    <t>Dzień Rodzicielstwa Zastępczego - catering</t>
  </si>
  <si>
    <t>brutto Projekt Bliżej Siebie 2 2023</t>
  </si>
  <si>
    <t>rozenznaie rynku Regulamin</t>
  </si>
  <si>
    <t>V-VII</t>
  </si>
  <si>
    <t>netto Projekt Bliżej Siebie 2 2023</t>
  </si>
  <si>
    <t>Wyposażenie mieszkania chronionego - meble, meble na wymiar, sprzęt AGD</t>
  </si>
  <si>
    <t>Wyposażenie mieszkania chronionego - art. gospodarstwa domowego</t>
  </si>
  <si>
    <t>PLAN ZAMÓWIEŃ PUBLICZNYCH NA ROK 2024</t>
  </si>
  <si>
    <t>brutto Projekt Bliżej Rodziny 2024</t>
  </si>
  <si>
    <t xml:space="preserve">Wynagrodzenie konsultanta PZP  </t>
  </si>
  <si>
    <t>Zakup wyposażenia</t>
  </si>
  <si>
    <t>Baza konkurencyjności
Regulamin do 130 tyś. zł netto</t>
  </si>
  <si>
    <t>Udział kandydatów na rodziny zastępcze (10os) i  RZZawodowe (1os) w szkoleniach organizowanych w innych jednostkach (dołączenie do grupy)</t>
  </si>
  <si>
    <t>Organizowanie spotkań integracyjnych:
Dzień rodzicielstwa, Mikołajki</t>
  </si>
  <si>
    <t>tryb podstawowy art. 275 ust. 1 Pzp</t>
  </si>
  <si>
    <t>brutto Projekt Bliżej Siebie 3 2025</t>
  </si>
  <si>
    <t>VIII 2024 -IX 2026</t>
  </si>
  <si>
    <t xml:space="preserve">Animator (Dzień Rodz./ Mikołaki) </t>
  </si>
  <si>
    <t>Wynajem dmuchańców wraz z obsługą</t>
  </si>
  <si>
    <t xml:space="preserve">Dojazdy (Dzień Rodz./ Mikołaki, 3 szkolenia) </t>
  </si>
  <si>
    <t>Ubezpieczenie NNW uczestników</t>
  </si>
  <si>
    <t>Usługi biur podróży - wycieczki, wyjazdy intergracyjne, warsztatowe</t>
  </si>
  <si>
    <t>Matriały dydaktyczne</t>
  </si>
  <si>
    <t>Szkolenia kopleksowy zakres (w tym merytoryczny, nocleg, wyżywienie, sala)
1. Dla PCPR/OPS (13000,00)                          2. Dla rodzin zast. 3. Dla rodzin zast. (2i3=24800,00)                                               4. Trzy szkolenia 1 dniowe dla rodzin zastępczych - catering wraz z wynajęciem sali, prowadzący -zad.zlec.(1-4390,2-4840,3-4390);                                                       5. Dla RZ warsztatowe (63000,00)</t>
  </si>
  <si>
    <t>Usługi szkoleniowe 1.Dwa dwudniowe stacjonarnedla pracow.(4000; 5000)</t>
  </si>
  <si>
    <r>
      <rPr>
        <b/>
        <sz val="10"/>
        <rFont val="Verdana"/>
        <family val="2"/>
        <charset val="238"/>
      </rPr>
      <t xml:space="preserve">Zajęcia reedukacyjne, warsztaty aktywizujące, wsparcie psychologiczne i terapeutyczne:
</t>
    </r>
    <r>
      <rPr>
        <sz val="10"/>
        <rFont val="Verdana"/>
        <family val="2"/>
        <charset val="238"/>
      </rPr>
      <t xml:space="preserve">
Superwizja i usługi z psychologiem</t>
    </r>
  </si>
  <si>
    <t>wartość netto</t>
  </si>
  <si>
    <t xml:space="preserve">suma brutto </t>
  </si>
  <si>
    <r>
      <rPr>
        <b/>
        <sz val="10"/>
        <rFont val="Verdana"/>
        <family val="2"/>
        <charset val="238"/>
      </rPr>
      <t xml:space="preserve">Zajęcia reedukacyjne, warsztaty aktywizujące, wsparcie psychologiczne i terapeutyczne;
</t>
    </r>
    <r>
      <rPr>
        <sz val="10"/>
        <rFont val="Verdana"/>
        <family val="2"/>
        <charset val="238"/>
      </rPr>
      <t xml:space="preserve">
 2.Warsztatowe dla wychow.cykliczne (54000). 
3.Warsztatowe jednodniowe dla wych. (5000); 
</t>
    </r>
    <r>
      <rPr>
        <sz val="10"/>
        <color theme="9" tint="-0.249977111117893"/>
        <rFont val="Verdana"/>
        <family val="2"/>
        <charset val="238"/>
      </rPr>
      <t>4.Warsztaty aktywiz.cykliczne(6-11lat) (6400)</t>
    </r>
    <r>
      <rPr>
        <sz val="10"/>
        <rFont val="Verdana"/>
        <family val="2"/>
        <charset val="238"/>
      </rPr>
      <t xml:space="preserve">. 
</t>
    </r>
    <r>
      <rPr>
        <sz val="10"/>
        <color theme="9" tint="-0.249977111117893"/>
        <rFont val="Verdana"/>
        <family val="2"/>
        <charset val="238"/>
      </rPr>
      <t>5.TUS (12-16lat) (8000)- prowadzący szkoleni</t>
    </r>
    <r>
      <rPr>
        <sz val="10"/>
        <rFont val="Verdana"/>
        <family val="2"/>
        <charset val="238"/>
      </rPr>
      <t>a</t>
    </r>
  </si>
  <si>
    <r>
      <t xml:space="preserve">
</t>
    </r>
    <r>
      <rPr>
        <b/>
        <sz val="10"/>
        <rFont val="Verdana"/>
        <family val="2"/>
        <charset val="238"/>
      </rPr>
      <t xml:space="preserve">Zajęcia reedukacyjne, warsztaty aktywizujące, wsparcie psychologiczne i terapeutyczne
</t>
    </r>
    <r>
      <rPr>
        <sz val="10"/>
        <color theme="9" tint="-0.249977111117893"/>
        <rFont val="Verdana"/>
        <family val="2"/>
        <charset val="238"/>
      </rPr>
      <t xml:space="preserve">
1) Zajęcia reedukacyjne dla dzieci 
Reedukacja - terapia pedagogiczna, długotrwały proces (dzieci z RZ/ DD);                                              </t>
    </r>
  </si>
  <si>
    <t xml:space="preserve"> Integracja sensoryczna SNOEZELEN wraz zwyjamem 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</si>
</sst>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9" tint="-0.249977111117893"/>
      <name val="Verdana"/>
      <family val="2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9" fillId="0" borderId="0"/>
  </cellStyleXfs>
  <cellXfs count="1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4" fontId="2" fillId="2" borderId="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4" fontId="2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/>
    <xf numFmtId="44" fontId="7" fillId="2" borderId="1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8" fontId="7" fillId="2" borderId="1" xfId="1" applyNumberFormat="1" applyFont="1" applyFill="1" applyBorder="1" applyAlignment="1">
      <alignment horizontal="right" vertical="center" wrapText="1"/>
    </xf>
    <xf numFmtId="8" fontId="6" fillId="2" borderId="1" xfId="1" applyNumberFormat="1" applyFont="1" applyFill="1" applyBorder="1" applyAlignment="1">
      <alignment horizontal="right" vertical="center" wrapText="1"/>
    </xf>
    <xf numFmtId="0" fontId="2" fillId="0" borderId="0" xfId="0" applyFont="1"/>
    <xf numFmtId="49" fontId="2" fillId="2" borderId="0" xfId="0" applyNumberFormat="1" applyFont="1" applyFill="1"/>
    <xf numFmtId="44" fontId="7" fillId="0" borderId="6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44" fontId="7" fillId="2" borderId="6" xfId="1" applyFont="1" applyFill="1" applyBorder="1" applyAlignment="1">
      <alignment horizontal="center" vertical="center" wrapText="1"/>
    </xf>
    <xf numFmtId="44" fontId="7" fillId="2" borderId="6" xfId="1" applyFont="1" applyFill="1" applyBorder="1" applyAlignment="1">
      <alignment vertical="center" wrapText="1"/>
    </xf>
    <xf numFmtId="44" fontId="7" fillId="5" borderId="1" xfId="1" applyFont="1" applyFill="1" applyBorder="1" applyAlignment="1">
      <alignment horizontal="center" vertical="center" wrapText="1"/>
    </xf>
    <xf numFmtId="44" fontId="7" fillId="2" borderId="7" xfId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44" fontId="6" fillId="2" borderId="7" xfId="0" applyNumberFormat="1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/>
    </xf>
    <xf numFmtId="44" fontId="7" fillId="0" borderId="6" xfId="1" applyFont="1" applyFill="1" applyBorder="1" applyAlignment="1">
      <alignment horizontal="right" vertical="center" wrapText="1"/>
    </xf>
    <xf numFmtId="44" fontId="7" fillId="2" borderId="6" xfId="1" applyFont="1" applyFill="1" applyBorder="1" applyAlignment="1">
      <alignment horizontal="right" vertical="center" wrapText="1"/>
    </xf>
    <xf numFmtId="165" fontId="7" fillId="2" borderId="7" xfId="1" applyNumberFormat="1" applyFont="1" applyFill="1" applyBorder="1" applyAlignment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6" fillId="2" borderId="10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165" fontId="6" fillId="2" borderId="7" xfId="0" applyNumberFormat="1" applyFont="1" applyFill="1" applyBorder="1" applyAlignment="1">
      <alignment horizontal="right" vertical="center" wrapText="1"/>
    </xf>
    <xf numFmtId="165" fontId="7" fillId="2" borderId="7" xfId="0" applyNumberFormat="1" applyFont="1" applyFill="1" applyBorder="1" applyAlignment="1">
      <alignment horizontal="right" vertical="center" wrapText="1"/>
    </xf>
    <xf numFmtId="165" fontId="7" fillId="0" borderId="6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165" fontId="7" fillId="0" borderId="7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44" fontId="2" fillId="2" borderId="0" xfId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6" fillId="2" borderId="10" xfId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8" fontId="6" fillId="2" borderId="8" xfId="1" applyNumberFormat="1" applyFont="1" applyFill="1" applyBorder="1" applyAlignment="1">
      <alignment horizontal="center" vertical="center" wrapText="1"/>
    </xf>
    <xf numFmtId="44" fontId="6" fillId="2" borderId="7" xfId="1" applyFont="1" applyFill="1" applyBorder="1" applyAlignment="1">
      <alignment horizontal="center" vertical="center" wrapText="1"/>
    </xf>
    <xf numFmtId="44" fontId="6" fillId="2" borderId="6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6" fillId="5" borderId="6" xfId="1" applyFont="1" applyFill="1" applyBorder="1" applyAlignment="1">
      <alignment horizontal="center" vertical="center" wrapText="1"/>
    </xf>
    <xf numFmtId="44" fontId="6" fillId="5" borderId="7" xfId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6" fillId="5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4" fontId="6" fillId="2" borderId="6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690077</xdr:colOff>
      <xdr:row>0</xdr:row>
      <xdr:rowOff>77755</xdr:rowOff>
    </xdr:from>
    <xdr:to>
      <xdr:col>11</xdr:col>
      <xdr:colOff>327583</xdr:colOff>
      <xdr:row>0</xdr:row>
      <xdr:rowOff>1149635</xdr:rowOff>
    </xdr:to>
    <xdr:pic>
      <xdr:nvPicPr>
        <xdr:cNvPr id="2" name="Obraz 1" descr="nagłówek_pisma_202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9822" y="77755"/>
          <a:ext cx="5760720" cy="1071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690077</xdr:colOff>
      <xdr:row>0</xdr:row>
      <xdr:rowOff>77755</xdr:rowOff>
    </xdr:from>
    <xdr:to>
      <xdr:col>11</xdr:col>
      <xdr:colOff>521971</xdr:colOff>
      <xdr:row>0</xdr:row>
      <xdr:rowOff>1149635</xdr:rowOff>
    </xdr:to>
    <xdr:pic>
      <xdr:nvPicPr>
        <xdr:cNvPr id="2" name="Obraz 1" descr="nagłówek_pisma_20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852" y="77755"/>
          <a:ext cx="5752556" cy="1071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690077</xdr:colOff>
      <xdr:row>0</xdr:row>
      <xdr:rowOff>77755</xdr:rowOff>
    </xdr:from>
    <xdr:to>
      <xdr:col>10</xdr:col>
      <xdr:colOff>854373</xdr:colOff>
      <xdr:row>0</xdr:row>
      <xdr:rowOff>1149635</xdr:rowOff>
    </xdr:to>
    <xdr:pic>
      <xdr:nvPicPr>
        <xdr:cNvPr id="2" name="Obraz 1" descr="nagłówek_pisma_20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852" y="77755"/>
          <a:ext cx="5756444" cy="1071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9"/>
  <sheetViews>
    <sheetView topLeftCell="A16" zoomScale="98" zoomScaleNormal="98" zoomScaleSheetLayoutView="78" workbookViewId="0">
      <selection activeCell="O33" sqref="O33"/>
    </sheetView>
  </sheetViews>
  <sheetFormatPr defaultColWidth="9.28515625" defaultRowHeight="15.75"/>
  <cols>
    <col min="1" max="1" width="3.28515625" style="1" customWidth="1"/>
    <col min="2" max="2" width="9.28515625" style="1" hidden="1" customWidth="1"/>
    <col min="3" max="3" width="9.28515625" style="32" customWidth="1"/>
    <col min="4" max="4" width="14.7109375" style="3" customWidth="1"/>
    <col min="5" max="5" width="14.28515625" style="1" customWidth="1"/>
    <col min="6" max="6" width="13.28515625" style="1" customWidth="1"/>
    <col min="7" max="7" width="13.7109375" style="6" customWidth="1"/>
    <col min="8" max="8" width="17.5703125" style="2" customWidth="1"/>
    <col min="9" max="9" width="13" style="2" customWidth="1"/>
    <col min="10" max="10" width="16.85546875" style="2" customWidth="1"/>
    <col min="11" max="11" width="17.28515625" style="2" customWidth="1"/>
    <col min="12" max="12" width="16.140625" style="1" customWidth="1"/>
    <col min="13" max="13" width="16" style="1" customWidth="1"/>
    <col min="14" max="14" width="16.85546875" style="1" customWidth="1"/>
    <col min="15" max="15" width="20.5703125" style="1" customWidth="1"/>
    <col min="16" max="16384" width="9.28515625" style="1"/>
  </cols>
  <sheetData>
    <row r="1" spans="3:18" ht="97.9" customHeight="1"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3:18" ht="27" customHeight="1">
      <c r="C2" s="99" t="s">
        <v>109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3:18" s="2" customFormat="1" ht="63.75">
      <c r="C3" s="8" t="s">
        <v>4</v>
      </c>
      <c r="D3" s="117" t="s">
        <v>0</v>
      </c>
      <c r="E3" s="117"/>
      <c r="F3" s="117"/>
      <c r="G3" s="8" t="s">
        <v>1</v>
      </c>
      <c r="H3" s="8" t="s">
        <v>2</v>
      </c>
      <c r="I3" s="8" t="s">
        <v>3</v>
      </c>
      <c r="J3" s="8" t="s">
        <v>20</v>
      </c>
      <c r="K3" s="8" t="s">
        <v>20</v>
      </c>
      <c r="L3" s="7" t="s">
        <v>77</v>
      </c>
      <c r="M3" s="7" t="s">
        <v>78</v>
      </c>
      <c r="N3" s="7" t="s">
        <v>79</v>
      </c>
      <c r="O3" s="7" t="s">
        <v>80</v>
      </c>
    </row>
    <row r="4" spans="3:18" s="2" customFormat="1" ht="25.5">
      <c r="C4" s="10" t="s">
        <v>34</v>
      </c>
      <c r="D4" s="121" t="s">
        <v>56</v>
      </c>
      <c r="E4" s="122"/>
      <c r="F4" s="123"/>
      <c r="G4" s="9" t="s">
        <v>5</v>
      </c>
      <c r="H4" s="10" t="s">
        <v>21</v>
      </c>
      <c r="I4" s="9">
        <v>2022</v>
      </c>
      <c r="J4" s="11"/>
      <c r="K4" s="8"/>
      <c r="L4" s="33">
        <f>M4</f>
        <v>2000</v>
      </c>
      <c r="M4" s="33">
        <f>N4</f>
        <v>2000</v>
      </c>
      <c r="N4" s="39">
        <v>2000</v>
      </c>
      <c r="O4" s="39"/>
    </row>
    <row r="5" spans="3:18" s="2" customFormat="1" ht="25.5">
      <c r="C5" s="10" t="s">
        <v>35</v>
      </c>
      <c r="D5" s="109" t="s">
        <v>27</v>
      </c>
      <c r="E5" s="109"/>
      <c r="F5" s="109"/>
      <c r="G5" s="12" t="s">
        <v>6</v>
      </c>
      <c r="H5" s="10" t="s">
        <v>21</v>
      </c>
      <c r="I5" s="13" t="s">
        <v>28</v>
      </c>
      <c r="J5" s="11"/>
      <c r="K5" s="8"/>
      <c r="L5" s="33">
        <f t="shared" ref="L5:L27" si="0">M5/1.23</f>
        <v>650.40650406504062</v>
      </c>
      <c r="M5" s="33">
        <f t="shared" ref="M5:M7" si="1">N5</f>
        <v>800</v>
      </c>
      <c r="N5" s="39">
        <v>800</v>
      </c>
      <c r="O5" s="39"/>
    </row>
    <row r="6" spans="3:18" s="2" customFormat="1" ht="25.5">
      <c r="C6" s="10" t="s">
        <v>36</v>
      </c>
      <c r="D6" s="109" t="s">
        <v>29</v>
      </c>
      <c r="E6" s="109"/>
      <c r="F6" s="109"/>
      <c r="G6" s="12" t="s">
        <v>6</v>
      </c>
      <c r="H6" s="10" t="s">
        <v>21</v>
      </c>
      <c r="I6" s="13" t="s">
        <v>28</v>
      </c>
      <c r="J6" s="11"/>
      <c r="K6" s="8"/>
      <c r="L6" s="33">
        <f t="shared" si="0"/>
        <v>8943.0894308943098</v>
      </c>
      <c r="M6" s="33">
        <f t="shared" si="1"/>
        <v>11000</v>
      </c>
      <c r="N6" s="39">
        <f>8000+3000</f>
        <v>11000</v>
      </c>
      <c r="O6" s="39"/>
    </row>
    <row r="7" spans="3:18" s="2" customFormat="1" ht="25.5">
      <c r="C7" s="10" t="s">
        <v>37</v>
      </c>
      <c r="D7" s="109" t="s">
        <v>30</v>
      </c>
      <c r="E7" s="109"/>
      <c r="F7" s="109"/>
      <c r="G7" s="12" t="s">
        <v>6</v>
      </c>
      <c r="H7" s="10" t="s">
        <v>21</v>
      </c>
      <c r="I7" s="13" t="s">
        <v>28</v>
      </c>
      <c r="J7" s="11"/>
      <c r="K7" s="8"/>
      <c r="L7" s="33">
        <f t="shared" si="0"/>
        <v>97.560975609756099</v>
      </c>
      <c r="M7" s="33">
        <f t="shared" si="1"/>
        <v>120</v>
      </c>
      <c r="N7" s="39">
        <v>120</v>
      </c>
      <c r="O7" s="39"/>
    </row>
    <row r="8" spans="3:18" s="2" customFormat="1" ht="25.5">
      <c r="C8" s="10" t="s">
        <v>38</v>
      </c>
      <c r="D8" s="109" t="s">
        <v>31</v>
      </c>
      <c r="E8" s="109"/>
      <c r="F8" s="109"/>
      <c r="G8" s="12" t="s">
        <v>6</v>
      </c>
      <c r="H8" s="10" t="s">
        <v>21</v>
      </c>
      <c r="I8" s="13" t="s">
        <v>28</v>
      </c>
      <c r="J8" s="11"/>
      <c r="K8" s="8"/>
      <c r="L8" s="33">
        <f t="shared" si="0"/>
        <v>8130.0813008130081</v>
      </c>
      <c r="M8" s="33">
        <f t="shared" ref="M8:M27" si="2">N8</f>
        <v>10000</v>
      </c>
      <c r="N8" s="39">
        <f>7000+3000</f>
        <v>10000</v>
      </c>
      <c r="O8" s="39"/>
    </row>
    <row r="9" spans="3:18" s="2" customFormat="1" ht="29.25" customHeight="1">
      <c r="C9" s="10" t="s">
        <v>39</v>
      </c>
      <c r="D9" s="109" t="s">
        <v>32</v>
      </c>
      <c r="E9" s="109"/>
      <c r="F9" s="109"/>
      <c r="G9" s="12" t="s">
        <v>6</v>
      </c>
      <c r="H9" s="10" t="s">
        <v>21</v>
      </c>
      <c r="I9" s="13" t="s">
        <v>28</v>
      </c>
      <c r="J9" s="11"/>
      <c r="K9" s="8"/>
      <c r="L9" s="33">
        <f t="shared" si="0"/>
        <v>10487.804878048781</v>
      </c>
      <c r="M9" s="33">
        <f t="shared" si="2"/>
        <v>12900</v>
      </c>
      <c r="N9" s="39">
        <f>800+600+1000+500+1000+9000</f>
        <v>12900</v>
      </c>
      <c r="O9" s="39"/>
      <c r="P9" s="114"/>
      <c r="Q9" s="115"/>
      <c r="R9" s="115"/>
    </row>
    <row r="10" spans="3:18" s="2" customFormat="1" ht="25.5">
      <c r="C10" s="10" t="s">
        <v>40</v>
      </c>
      <c r="D10" s="109" t="s">
        <v>33</v>
      </c>
      <c r="E10" s="109"/>
      <c r="F10" s="109"/>
      <c r="G10" s="12" t="s">
        <v>6</v>
      </c>
      <c r="H10" s="10" t="s">
        <v>21</v>
      </c>
      <c r="I10" s="13" t="s">
        <v>28</v>
      </c>
      <c r="J10" s="11"/>
      <c r="K10" s="8"/>
      <c r="L10" s="33">
        <f>M10/1.08</f>
        <v>999.99999999999989</v>
      </c>
      <c r="M10" s="33">
        <f t="shared" si="2"/>
        <v>1080</v>
      </c>
      <c r="N10" s="39">
        <f>840+240</f>
        <v>1080</v>
      </c>
      <c r="O10" s="39"/>
    </row>
    <row r="11" spans="3:18" s="2" customFormat="1" ht="25.5">
      <c r="C11" s="10" t="s">
        <v>41</v>
      </c>
      <c r="D11" s="109" t="s">
        <v>57</v>
      </c>
      <c r="E11" s="109"/>
      <c r="F11" s="109"/>
      <c r="G11" s="12" t="s">
        <v>6</v>
      </c>
      <c r="H11" s="10" t="s">
        <v>21</v>
      </c>
      <c r="I11" s="13" t="s">
        <v>28</v>
      </c>
      <c r="J11" s="11"/>
      <c r="K11" s="8"/>
      <c r="L11" s="33">
        <f t="shared" si="0"/>
        <v>16666.666666666668</v>
      </c>
      <c r="M11" s="33">
        <f t="shared" si="2"/>
        <v>20500</v>
      </c>
      <c r="N11" s="39">
        <f>14000+6500</f>
        <v>20500</v>
      </c>
      <c r="O11" s="39"/>
    </row>
    <row r="12" spans="3:18" s="2" customFormat="1" ht="25.5">
      <c r="C12" s="10" t="s">
        <v>42</v>
      </c>
      <c r="D12" s="109" t="s">
        <v>58</v>
      </c>
      <c r="E12" s="109"/>
      <c r="F12" s="109"/>
      <c r="G12" s="12" t="s">
        <v>5</v>
      </c>
      <c r="H12" s="10" t="s">
        <v>21</v>
      </c>
      <c r="I12" s="13" t="s">
        <v>28</v>
      </c>
      <c r="J12" s="11"/>
      <c r="K12" s="8"/>
      <c r="L12" s="33">
        <f t="shared" si="0"/>
        <v>21951.219512195123</v>
      </c>
      <c r="M12" s="33">
        <f t="shared" si="2"/>
        <v>27000</v>
      </c>
      <c r="N12" s="39">
        <f>19000+8000</f>
        <v>27000</v>
      </c>
      <c r="O12" s="39"/>
    </row>
    <row r="13" spans="3:18" s="2" customFormat="1" ht="25.5">
      <c r="C13" s="10" t="s">
        <v>43</v>
      </c>
      <c r="D13" s="109" t="s">
        <v>59</v>
      </c>
      <c r="E13" s="109"/>
      <c r="F13" s="109"/>
      <c r="G13" s="12" t="s">
        <v>5</v>
      </c>
      <c r="H13" s="10" t="s">
        <v>21</v>
      </c>
      <c r="I13" s="13" t="s">
        <v>28</v>
      </c>
      <c r="J13" s="11"/>
      <c r="K13" s="8"/>
      <c r="L13" s="33">
        <f t="shared" si="0"/>
        <v>4471.5447154471549</v>
      </c>
      <c r="M13" s="33">
        <f t="shared" si="2"/>
        <v>5500</v>
      </c>
      <c r="N13" s="39">
        <f>4020+400+1080</f>
        <v>5500</v>
      </c>
      <c r="O13" s="39"/>
    </row>
    <row r="14" spans="3:18" s="2" customFormat="1" ht="25.5">
      <c r="C14" s="10" t="s">
        <v>44</v>
      </c>
      <c r="D14" s="100" t="s">
        <v>106</v>
      </c>
      <c r="E14" s="101"/>
      <c r="F14" s="102"/>
      <c r="G14" s="12" t="s">
        <v>5</v>
      </c>
      <c r="H14" s="10" t="s">
        <v>21</v>
      </c>
      <c r="I14" s="13" t="s">
        <v>28</v>
      </c>
      <c r="J14" s="11"/>
      <c r="K14" s="8"/>
      <c r="L14" s="33">
        <v>88100</v>
      </c>
      <c r="M14" s="33">
        <f t="shared" si="2"/>
        <v>88100</v>
      </c>
      <c r="N14" s="39">
        <f>80000+5400+2700</f>
        <v>88100</v>
      </c>
      <c r="O14" s="39"/>
    </row>
    <row r="15" spans="3:18" s="2" customFormat="1" ht="25.5">
      <c r="C15" s="10" t="s">
        <v>45</v>
      </c>
      <c r="D15" s="116" t="s">
        <v>105</v>
      </c>
      <c r="E15" s="116"/>
      <c r="F15" s="116"/>
      <c r="G15" s="12" t="s">
        <v>5</v>
      </c>
      <c r="H15" s="10" t="s">
        <v>21</v>
      </c>
      <c r="I15" s="13" t="s">
        <v>28</v>
      </c>
      <c r="J15" s="11"/>
      <c r="K15" s="8"/>
      <c r="L15" s="33">
        <f t="shared" si="0"/>
        <v>39024.390243902439</v>
      </c>
      <c r="M15" s="33">
        <f t="shared" si="2"/>
        <v>48000</v>
      </c>
      <c r="N15" s="39">
        <f>19200+28800</f>
        <v>48000</v>
      </c>
      <c r="O15" s="39"/>
    </row>
    <row r="16" spans="3:18" s="2" customFormat="1" ht="25.5">
      <c r="C16" s="10" t="s">
        <v>46</v>
      </c>
      <c r="D16" s="109" t="s">
        <v>60</v>
      </c>
      <c r="E16" s="109"/>
      <c r="F16" s="109"/>
      <c r="G16" s="12" t="s">
        <v>5</v>
      </c>
      <c r="H16" s="10" t="s">
        <v>21</v>
      </c>
      <c r="I16" s="13" t="s">
        <v>28</v>
      </c>
      <c r="J16" s="11"/>
      <c r="K16" s="8"/>
      <c r="L16" s="33">
        <f>M16</f>
        <v>5000</v>
      </c>
      <c r="M16" s="33">
        <f t="shared" si="2"/>
        <v>5000</v>
      </c>
      <c r="N16" s="39">
        <f>5000</f>
        <v>5000</v>
      </c>
      <c r="O16" s="39"/>
    </row>
    <row r="17" spans="3:15" s="2" customFormat="1" ht="25.5">
      <c r="C17" s="10" t="s">
        <v>47</v>
      </c>
      <c r="D17" s="109" t="s">
        <v>61</v>
      </c>
      <c r="E17" s="109"/>
      <c r="F17" s="109"/>
      <c r="G17" s="12" t="s">
        <v>5</v>
      </c>
      <c r="H17" s="10" t="s">
        <v>21</v>
      </c>
      <c r="I17" s="13" t="s">
        <v>28</v>
      </c>
      <c r="J17" s="11"/>
      <c r="K17" s="8"/>
      <c r="L17" s="33">
        <f>M17</f>
        <v>38700</v>
      </c>
      <c r="M17" s="33">
        <f t="shared" si="2"/>
        <v>38700</v>
      </c>
      <c r="N17" s="39">
        <f>28500+10200</f>
        <v>38700</v>
      </c>
      <c r="O17" s="39"/>
    </row>
    <row r="18" spans="3:15" s="2" customFormat="1" ht="25.5">
      <c r="C18" s="10" t="s">
        <v>48</v>
      </c>
      <c r="D18" s="109" t="s">
        <v>62</v>
      </c>
      <c r="E18" s="109"/>
      <c r="F18" s="109"/>
      <c r="G18" s="12" t="s">
        <v>5</v>
      </c>
      <c r="H18" s="10" t="s">
        <v>21</v>
      </c>
      <c r="I18" s="13" t="s">
        <v>28</v>
      </c>
      <c r="J18" s="11"/>
      <c r="K18" s="8"/>
      <c r="L18" s="33">
        <f>M18</f>
        <v>4800</v>
      </c>
      <c r="M18" s="33">
        <f t="shared" si="2"/>
        <v>4800</v>
      </c>
      <c r="N18" s="39">
        <f>4800</f>
        <v>4800</v>
      </c>
      <c r="O18" s="39"/>
    </row>
    <row r="19" spans="3:15" s="2" customFormat="1" ht="25.5">
      <c r="C19" s="10" t="s">
        <v>49</v>
      </c>
      <c r="D19" s="109" t="s">
        <v>63</v>
      </c>
      <c r="E19" s="109"/>
      <c r="F19" s="109"/>
      <c r="G19" s="12" t="s">
        <v>5</v>
      </c>
      <c r="H19" s="10" t="s">
        <v>21</v>
      </c>
      <c r="I19" s="13" t="s">
        <v>28</v>
      </c>
      <c r="J19" s="11"/>
      <c r="K19" s="8"/>
      <c r="L19" s="33">
        <f t="shared" si="0"/>
        <v>2439.0243902439024</v>
      </c>
      <c r="M19" s="33">
        <f t="shared" si="2"/>
        <v>3000</v>
      </c>
      <c r="N19" s="39">
        <f>1800+1200</f>
        <v>3000</v>
      </c>
      <c r="O19" s="39"/>
    </row>
    <row r="20" spans="3:15" s="2" customFormat="1" ht="25.5">
      <c r="C20" s="10" t="s">
        <v>50</v>
      </c>
      <c r="D20" s="109" t="s">
        <v>64</v>
      </c>
      <c r="E20" s="109"/>
      <c r="F20" s="109"/>
      <c r="G20" s="12" t="s">
        <v>5</v>
      </c>
      <c r="H20" s="10" t="s">
        <v>21</v>
      </c>
      <c r="I20" s="13" t="s">
        <v>28</v>
      </c>
      <c r="J20" s="11"/>
      <c r="K20" s="8"/>
      <c r="L20" s="33">
        <f>M20</f>
        <v>44957</v>
      </c>
      <c r="M20" s="33">
        <f t="shared" si="2"/>
        <v>44957</v>
      </c>
      <c r="N20" s="39">
        <f>19200+25757</f>
        <v>44957</v>
      </c>
      <c r="O20" s="39"/>
    </row>
    <row r="21" spans="3:15" s="2" customFormat="1" ht="25.5">
      <c r="C21" s="10" t="s">
        <v>51</v>
      </c>
      <c r="D21" s="109" t="s">
        <v>65</v>
      </c>
      <c r="E21" s="109"/>
      <c r="F21" s="109"/>
      <c r="G21" s="12" t="s">
        <v>6</v>
      </c>
      <c r="H21" s="10" t="s">
        <v>21</v>
      </c>
      <c r="I21" s="13" t="s">
        <v>28</v>
      </c>
      <c r="J21" s="11"/>
      <c r="K21" s="8"/>
      <c r="L21" s="33">
        <f t="shared" si="0"/>
        <v>7333.333333333333</v>
      </c>
      <c r="M21" s="33">
        <f t="shared" si="2"/>
        <v>9020</v>
      </c>
      <c r="N21" s="39">
        <f>5020+4000</f>
        <v>9020</v>
      </c>
      <c r="O21" s="39"/>
    </row>
    <row r="22" spans="3:15" s="2" customFormat="1" ht="25.5">
      <c r="C22" s="10" t="s">
        <v>52</v>
      </c>
      <c r="D22" s="109" t="s">
        <v>66</v>
      </c>
      <c r="E22" s="109"/>
      <c r="F22" s="109"/>
      <c r="G22" s="12" t="s">
        <v>5</v>
      </c>
      <c r="H22" s="10" t="s">
        <v>21</v>
      </c>
      <c r="I22" s="13" t="s">
        <v>28</v>
      </c>
      <c r="J22" s="11"/>
      <c r="K22" s="8"/>
      <c r="L22" s="33">
        <f t="shared" si="0"/>
        <v>292.6829268292683</v>
      </c>
      <c r="M22" s="33">
        <f t="shared" si="2"/>
        <v>360</v>
      </c>
      <c r="N22" s="39">
        <f>180+180</f>
        <v>360</v>
      </c>
      <c r="O22" s="39"/>
    </row>
    <row r="23" spans="3:15" s="2" customFormat="1" ht="25.5">
      <c r="C23" s="10" t="s">
        <v>53</v>
      </c>
      <c r="D23" s="109" t="s">
        <v>67</v>
      </c>
      <c r="E23" s="109"/>
      <c r="F23" s="109"/>
      <c r="G23" s="12" t="s">
        <v>5</v>
      </c>
      <c r="H23" s="10" t="s">
        <v>21</v>
      </c>
      <c r="I23" s="13" t="s">
        <v>28</v>
      </c>
      <c r="J23" s="11"/>
      <c r="K23" s="8"/>
      <c r="L23" s="33">
        <f t="shared" si="0"/>
        <v>2439.0243902439024</v>
      </c>
      <c r="M23" s="33">
        <f t="shared" si="2"/>
        <v>3000</v>
      </c>
      <c r="N23" s="39">
        <f>3000</f>
        <v>3000</v>
      </c>
      <c r="O23" s="39"/>
    </row>
    <row r="24" spans="3:15" s="2" customFormat="1" ht="25.5">
      <c r="C24" s="10" t="s">
        <v>54</v>
      </c>
      <c r="D24" s="109" t="s">
        <v>68</v>
      </c>
      <c r="E24" s="109"/>
      <c r="F24" s="109"/>
      <c r="G24" s="12" t="s">
        <v>5</v>
      </c>
      <c r="H24" s="10" t="s">
        <v>21</v>
      </c>
      <c r="I24" s="13" t="s">
        <v>28</v>
      </c>
      <c r="J24" s="11"/>
      <c r="K24" s="8"/>
      <c r="L24" s="33">
        <f>M24</f>
        <v>4000</v>
      </c>
      <c r="M24" s="33">
        <f t="shared" si="2"/>
        <v>4000</v>
      </c>
      <c r="N24" s="39">
        <v>4000</v>
      </c>
      <c r="O24" s="39"/>
    </row>
    <row r="25" spans="3:15" s="2" customFormat="1" ht="25.5">
      <c r="C25" s="10" t="s">
        <v>55</v>
      </c>
      <c r="D25" s="100" t="s">
        <v>69</v>
      </c>
      <c r="E25" s="101"/>
      <c r="F25" s="102"/>
      <c r="G25" s="12" t="s">
        <v>5</v>
      </c>
      <c r="H25" s="10" t="s">
        <v>21</v>
      </c>
      <c r="I25" s="13" t="s">
        <v>28</v>
      </c>
      <c r="J25" s="11"/>
      <c r="K25" s="8"/>
      <c r="L25" s="33">
        <f t="shared" si="0"/>
        <v>51378.861788617884</v>
      </c>
      <c r="M25" s="33">
        <f t="shared" si="2"/>
        <v>63196</v>
      </c>
      <c r="N25" s="39">
        <f>11200+1200+12000+6000+600+156+2640+3000+4000+800+2400+1200+500+12000+5500</f>
        <v>63196</v>
      </c>
      <c r="O25" s="39"/>
    </row>
    <row r="26" spans="3:15" s="2" customFormat="1" ht="25.5">
      <c r="C26" s="10" t="s">
        <v>84</v>
      </c>
      <c r="D26" s="109" t="s">
        <v>70</v>
      </c>
      <c r="E26" s="109"/>
      <c r="F26" s="109"/>
      <c r="G26" s="12" t="s">
        <v>5</v>
      </c>
      <c r="H26" s="10" t="s">
        <v>21</v>
      </c>
      <c r="I26" s="13" t="s">
        <v>28</v>
      </c>
      <c r="J26" s="11"/>
      <c r="K26" s="8"/>
      <c r="L26" s="33">
        <f>M26/1.08</f>
        <v>3111.1111111111109</v>
      </c>
      <c r="M26" s="33">
        <f t="shared" si="2"/>
        <v>3360</v>
      </c>
      <c r="N26" s="39">
        <f>2400+960</f>
        <v>3360</v>
      </c>
      <c r="O26" s="39"/>
    </row>
    <row r="27" spans="3:15" s="2" customFormat="1" ht="24" customHeight="1">
      <c r="C27" s="10" t="s">
        <v>85</v>
      </c>
      <c r="D27" s="106" t="s">
        <v>83</v>
      </c>
      <c r="E27" s="107"/>
      <c r="F27" s="108"/>
      <c r="G27" s="12" t="s">
        <v>5</v>
      </c>
      <c r="H27" s="10" t="s">
        <v>21</v>
      </c>
      <c r="I27" s="13" t="s">
        <v>28</v>
      </c>
      <c r="J27" s="11"/>
      <c r="K27" s="8"/>
      <c r="L27" s="33">
        <f t="shared" si="0"/>
        <v>3252.0325203252032</v>
      </c>
      <c r="M27" s="33">
        <f t="shared" si="2"/>
        <v>4000</v>
      </c>
      <c r="N27" s="42">
        <v>4000</v>
      </c>
      <c r="O27" s="7"/>
    </row>
    <row r="28" spans="3:15" ht="39" customHeight="1">
      <c r="C28" s="10" t="s">
        <v>86</v>
      </c>
      <c r="D28" s="110" t="s">
        <v>8</v>
      </c>
      <c r="E28" s="110"/>
      <c r="F28" s="110"/>
      <c r="G28" s="14"/>
      <c r="H28" s="15" t="s">
        <v>19</v>
      </c>
      <c r="I28" s="10" t="s">
        <v>9</v>
      </c>
      <c r="J28" s="16">
        <f>126720</f>
        <v>126720</v>
      </c>
      <c r="K28" s="17">
        <v>126720</v>
      </c>
      <c r="L28" s="34"/>
      <c r="M28" s="35"/>
      <c r="N28" s="40"/>
      <c r="O28" s="41">
        <v>126720</v>
      </c>
    </row>
    <row r="29" spans="3:15" ht="30" customHeight="1">
      <c r="C29" s="10" t="s">
        <v>87</v>
      </c>
      <c r="D29" s="110" t="s">
        <v>25</v>
      </c>
      <c r="E29" s="110"/>
      <c r="F29" s="110"/>
      <c r="G29" s="14"/>
      <c r="H29" s="126" t="s">
        <v>18</v>
      </c>
      <c r="I29" s="10" t="s">
        <v>9</v>
      </c>
      <c r="J29" s="124">
        <f>24200+13750</f>
        <v>37950</v>
      </c>
      <c r="K29" s="17">
        <v>24200</v>
      </c>
      <c r="L29" s="34"/>
      <c r="M29" s="35"/>
      <c r="N29" s="40"/>
      <c r="O29" s="41">
        <v>24200</v>
      </c>
    </row>
    <row r="30" spans="3:15" ht="30" customHeight="1">
      <c r="C30" s="10" t="s">
        <v>88</v>
      </c>
      <c r="D30" s="110" t="s">
        <v>23</v>
      </c>
      <c r="E30" s="110"/>
      <c r="F30" s="110"/>
      <c r="G30" s="14"/>
      <c r="H30" s="127"/>
      <c r="I30" s="10" t="s">
        <v>9</v>
      </c>
      <c r="J30" s="125"/>
      <c r="K30" s="17">
        <v>13750</v>
      </c>
      <c r="L30" s="35"/>
      <c r="M30" s="35"/>
      <c r="N30" s="40"/>
      <c r="O30" s="41">
        <v>13750</v>
      </c>
    </row>
    <row r="31" spans="3:15" ht="25.5">
      <c r="C31" s="10" t="s">
        <v>89</v>
      </c>
      <c r="D31" s="110" t="s">
        <v>22</v>
      </c>
      <c r="E31" s="110"/>
      <c r="F31" s="110"/>
      <c r="G31" s="14"/>
      <c r="H31" s="10" t="s">
        <v>21</v>
      </c>
      <c r="I31" s="10" t="s">
        <v>9</v>
      </c>
      <c r="J31" s="120">
        <f>15000+1800</f>
        <v>16800</v>
      </c>
      <c r="K31" s="17">
        <v>15000</v>
      </c>
      <c r="L31" s="36"/>
      <c r="M31" s="35"/>
      <c r="N31" s="40"/>
      <c r="O31" s="41">
        <v>15000</v>
      </c>
    </row>
    <row r="32" spans="3:15" ht="25.5">
      <c r="C32" s="10" t="s">
        <v>90</v>
      </c>
      <c r="D32" s="106" t="s">
        <v>10</v>
      </c>
      <c r="E32" s="107"/>
      <c r="F32" s="108"/>
      <c r="G32" s="14"/>
      <c r="H32" s="10" t="s">
        <v>21</v>
      </c>
      <c r="I32" s="10" t="s">
        <v>9</v>
      </c>
      <c r="J32" s="119"/>
      <c r="K32" s="17">
        <v>1800</v>
      </c>
      <c r="L32" s="34"/>
      <c r="M32" s="35"/>
      <c r="N32" s="40"/>
      <c r="O32" s="41">
        <v>1800</v>
      </c>
    </row>
    <row r="33" spans="3:19" ht="25.5">
      <c r="C33" s="10" t="s">
        <v>91</v>
      </c>
      <c r="D33" s="110" t="s">
        <v>26</v>
      </c>
      <c r="E33" s="110"/>
      <c r="F33" s="110"/>
      <c r="G33" s="14"/>
      <c r="H33" s="10" t="s">
        <v>21</v>
      </c>
      <c r="I33" s="10" t="s">
        <v>9</v>
      </c>
      <c r="J33" s="120">
        <f>K33+K34</f>
        <v>16800</v>
      </c>
      <c r="K33" s="17">
        <v>10800</v>
      </c>
      <c r="L33" s="34"/>
      <c r="M33" s="35"/>
      <c r="N33" s="40"/>
      <c r="O33" s="41">
        <v>10800</v>
      </c>
      <c r="P33" s="1">
        <v>10530</v>
      </c>
      <c r="Q33" s="1" t="s">
        <v>114</v>
      </c>
    </row>
    <row r="34" spans="3:19" ht="32.450000000000003" customHeight="1">
      <c r="C34" s="10" t="s">
        <v>92</v>
      </c>
      <c r="D34" s="110" t="s">
        <v>24</v>
      </c>
      <c r="E34" s="110"/>
      <c r="F34" s="110"/>
      <c r="G34" s="14"/>
      <c r="H34" s="10" t="s">
        <v>21</v>
      </c>
      <c r="I34" s="10" t="s">
        <v>82</v>
      </c>
      <c r="J34" s="119"/>
      <c r="K34" s="17">
        <v>6000</v>
      </c>
      <c r="L34" s="35"/>
      <c r="M34" s="35"/>
      <c r="N34" s="40"/>
      <c r="O34" s="41">
        <v>6000</v>
      </c>
    </row>
    <row r="35" spans="3:19" ht="39" customHeight="1">
      <c r="C35" s="10" t="s">
        <v>93</v>
      </c>
      <c r="D35" s="106" t="s">
        <v>11</v>
      </c>
      <c r="E35" s="107"/>
      <c r="F35" s="108"/>
      <c r="G35" s="14"/>
      <c r="H35" s="15" t="s">
        <v>19</v>
      </c>
      <c r="I35" s="10" t="s">
        <v>12</v>
      </c>
      <c r="J35" s="18">
        <v>121780</v>
      </c>
      <c r="K35" s="17">
        <v>121780</v>
      </c>
      <c r="L35" s="35"/>
      <c r="M35" s="35"/>
      <c r="N35" s="40"/>
      <c r="O35" s="41">
        <v>121780</v>
      </c>
      <c r="P35" s="46" t="s">
        <v>115</v>
      </c>
      <c r="S35" s="1">
        <v>86025</v>
      </c>
    </row>
    <row r="36" spans="3:19" ht="63.75">
      <c r="C36" s="10" t="s">
        <v>94</v>
      </c>
      <c r="D36" s="111" t="s">
        <v>108</v>
      </c>
      <c r="E36" s="112"/>
      <c r="F36" s="113"/>
      <c r="G36" s="14"/>
      <c r="H36" s="19" t="s">
        <v>17</v>
      </c>
      <c r="I36" s="10" t="s">
        <v>9</v>
      </c>
      <c r="J36" s="20">
        <v>222885.32</v>
      </c>
      <c r="K36" s="17">
        <v>222885.32</v>
      </c>
      <c r="L36" s="37"/>
      <c r="M36" s="35"/>
      <c r="N36" s="40"/>
      <c r="O36" s="41">
        <v>222885.32</v>
      </c>
      <c r="P36" s="45"/>
    </row>
    <row r="37" spans="3:19" ht="25.5">
      <c r="C37" s="10" t="s">
        <v>95</v>
      </c>
      <c r="D37" s="106" t="s">
        <v>81</v>
      </c>
      <c r="E37" s="107"/>
      <c r="F37" s="108"/>
      <c r="G37" s="14"/>
      <c r="H37" s="10" t="s">
        <v>21</v>
      </c>
      <c r="I37" s="10" t="s">
        <v>9</v>
      </c>
      <c r="J37" s="17">
        <v>10000</v>
      </c>
      <c r="K37" s="17">
        <v>10000</v>
      </c>
      <c r="L37" s="35"/>
      <c r="M37" s="35"/>
      <c r="N37" s="40"/>
      <c r="O37" s="41">
        <v>10000</v>
      </c>
      <c r="P37" s="46" t="s">
        <v>111</v>
      </c>
    </row>
    <row r="38" spans="3:19" ht="38.25">
      <c r="C38" s="10" t="s">
        <v>96</v>
      </c>
      <c r="D38" s="106" t="s">
        <v>71</v>
      </c>
      <c r="E38" s="107"/>
      <c r="F38" s="108"/>
      <c r="G38" s="14"/>
      <c r="H38" s="21" t="s">
        <v>18</v>
      </c>
      <c r="I38" s="10" t="s">
        <v>82</v>
      </c>
      <c r="J38" s="22">
        <v>30060</v>
      </c>
      <c r="K38" s="17">
        <v>30060</v>
      </c>
      <c r="L38" s="35"/>
      <c r="M38" s="35"/>
      <c r="N38" s="40"/>
      <c r="O38" s="41">
        <v>30060</v>
      </c>
    </row>
    <row r="39" spans="3:19" ht="38.25">
      <c r="C39" s="10" t="s">
        <v>97</v>
      </c>
      <c r="D39" s="23" t="s">
        <v>14</v>
      </c>
      <c r="E39" s="24"/>
      <c r="F39" s="25"/>
      <c r="G39" s="14"/>
      <c r="H39" s="21" t="s">
        <v>18</v>
      </c>
      <c r="I39" s="10" t="s">
        <v>16</v>
      </c>
      <c r="J39" s="118">
        <f>SUM(K39:K40)</f>
        <v>49442.65</v>
      </c>
      <c r="K39" s="44">
        <v>14900</v>
      </c>
      <c r="L39" s="35"/>
      <c r="M39" s="38"/>
      <c r="N39" s="40"/>
      <c r="O39" s="43">
        <v>14900</v>
      </c>
    </row>
    <row r="40" spans="3:19" ht="38.25">
      <c r="C40" s="10" t="s">
        <v>98</v>
      </c>
      <c r="D40" s="111" t="s">
        <v>13</v>
      </c>
      <c r="E40" s="112"/>
      <c r="F40" s="113"/>
      <c r="G40" s="14"/>
      <c r="H40" s="21" t="s">
        <v>18</v>
      </c>
      <c r="I40" s="10" t="s">
        <v>15</v>
      </c>
      <c r="J40" s="119"/>
      <c r="K40" s="44">
        <v>34542.65</v>
      </c>
      <c r="L40" s="35"/>
      <c r="M40" s="35"/>
      <c r="N40" s="40"/>
      <c r="O40" s="43">
        <v>34542.65</v>
      </c>
      <c r="P40" s="46" t="s">
        <v>113</v>
      </c>
      <c r="Q40" s="1" t="s">
        <v>116</v>
      </c>
      <c r="R40" s="1">
        <v>19642.650000000001</v>
      </c>
    </row>
    <row r="41" spans="3:19" ht="25.5">
      <c r="C41" s="10" t="s">
        <v>99</v>
      </c>
      <c r="D41" s="106" t="s">
        <v>72</v>
      </c>
      <c r="E41" s="107"/>
      <c r="F41" s="108"/>
      <c r="G41" s="14"/>
      <c r="H41" s="10" t="s">
        <v>21</v>
      </c>
      <c r="I41" s="10" t="s">
        <v>15</v>
      </c>
      <c r="J41" s="17">
        <v>3800</v>
      </c>
      <c r="K41" s="17">
        <v>3800</v>
      </c>
      <c r="L41" s="35"/>
      <c r="M41" s="35"/>
      <c r="N41" s="40"/>
      <c r="O41" s="41">
        <v>3800</v>
      </c>
    </row>
    <row r="42" spans="3:19" ht="25.5">
      <c r="C42" s="10" t="s">
        <v>100</v>
      </c>
      <c r="D42" s="106" t="s">
        <v>73</v>
      </c>
      <c r="E42" s="107"/>
      <c r="F42" s="108"/>
      <c r="G42" s="14"/>
      <c r="H42" s="10" t="s">
        <v>21</v>
      </c>
      <c r="I42" s="10" t="s">
        <v>15</v>
      </c>
      <c r="J42" s="17">
        <v>400</v>
      </c>
      <c r="K42" s="17">
        <v>400</v>
      </c>
      <c r="L42" s="35"/>
      <c r="M42" s="35"/>
      <c r="N42" s="40"/>
      <c r="O42" s="41">
        <v>400</v>
      </c>
      <c r="P42" s="46" t="s">
        <v>112</v>
      </c>
    </row>
    <row r="43" spans="3:19" ht="25.5">
      <c r="C43" s="10" t="s">
        <v>101</v>
      </c>
      <c r="D43" s="26" t="s">
        <v>7</v>
      </c>
      <c r="E43" s="27"/>
      <c r="F43" s="28"/>
      <c r="G43" s="14"/>
      <c r="H43" s="10" t="s">
        <v>21</v>
      </c>
      <c r="I43" s="10" t="s">
        <v>15</v>
      </c>
      <c r="J43" s="17">
        <v>2000</v>
      </c>
      <c r="K43" s="17">
        <v>2000</v>
      </c>
      <c r="L43" s="35"/>
      <c r="M43" s="35"/>
      <c r="N43" s="40"/>
      <c r="O43" s="41">
        <v>2000</v>
      </c>
      <c r="P43" s="46" t="s">
        <v>110</v>
      </c>
    </row>
    <row r="44" spans="3:19" ht="27.6" customHeight="1">
      <c r="C44" s="10" t="s">
        <v>102</v>
      </c>
      <c r="D44" s="106" t="s">
        <v>74</v>
      </c>
      <c r="E44" s="107"/>
      <c r="F44" s="108"/>
      <c r="G44" s="14"/>
      <c r="H44" s="10" t="s">
        <v>21</v>
      </c>
      <c r="I44" s="10" t="s">
        <v>16</v>
      </c>
      <c r="J44" s="17">
        <v>3800</v>
      </c>
      <c r="K44" s="17">
        <v>3800</v>
      </c>
      <c r="L44" s="35"/>
      <c r="M44" s="35"/>
      <c r="N44" s="40"/>
      <c r="O44" s="41">
        <v>3800</v>
      </c>
    </row>
    <row r="45" spans="3:19" ht="25.5">
      <c r="C45" s="10" t="s">
        <v>103</v>
      </c>
      <c r="D45" s="29" t="s">
        <v>73</v>
      </c>
      <c r="E45" s="30"/>
      <c r="F45" s="25"/>
      <c r="G45" s="14"/>
      <c r="H45" s="10" t="s">
        <v>21</v>
      </c>
      <c r="I45" s="10" t="s">
        <v>16</v>
      </c>
      <c r="J45" s="17">
        <v>400</v>
      </c>
      <c r="K45" s="17">
        <v>400</v>
      </c>
      <c r="L45" s="35"/>
      <c r="M45" s="35"/>
      <c r="N45" s="40"/>
      <c r="O45" s="41">
        <v>400</v>
      </c>
    </row>
    <row r="46" spans="3:19" ht="28.9" customHeight="1">
      <c r="C46" s="10" t="s">
        <v>104</v>
      </c>
      <c r="D46" s="106" t="s">
        <v>75</v>
      </c>
      <c r="E46" s="107"/>
      <c r="F46" s="108"/>
      <c r="G46" s="14"/>
      <c r="H46" s="10" t="s">
        <v>21</v>
      </c>
      <c r="I46" s="10" t="s">
        <v>16</v>
      </c>
      <c r="J46" s="17">
        <v>600</v>
      </c>
      <c r="K46" s="17">
        <v>600</v>
      </c>
      <c r="L46" s="35"/>
      <c r="M46" s="35"/>
      <c r="N46" s="40"/>
      <c r="O46" s="41">
        <v>600</v>
      </c>
    </row>
    <row r="47" spans="3:19" ht="25.5">
      <c r="C47" s="10" t="s">
        <v>107</v>
      </c>
      <c r="D47" s="103" t="s">
        <v>76</v>
      </c>
      <c r="E47" s="104"/>
      <c r="F47" s="105"/>
      <c r="G47" s="14"/>
      <c r="H47" s="10" t="s">
        <v>21</v>
      </c>
      <c r="I47" s="10" t="s">
        <v>16</v>
      </c>
      <c r="J47" s="17">
        <v>1500</v>
      </c>
      <c r="K47" s="17">
        <v>1500</v>
      </c>
      <c r="L47" s="35"/>
      <c r="M47" s="35"/>
      <c r="N47" s="40"/>
      <c r="O47" s="41">
        <v>1500</v>
      </c>
    </row>
    <row r="48" spans="3:19">
      <c r="C48" s="31"/>
      <c r="D48" s="4"/>
      <c r="E48" s="4"/>
      <c r="F48" s="4"/>
      <c r="J48" s="5"/>
      <c r="K48" s="5"/>
    </row>
    <row r="49" spans="3:11">
      <c r="C49" s="31"/>
      <c r="D49" s="4"/>
      <c r="E49" s="4"/>
      <c r="F49" s="4"/>
      <c r="J49" s="5"/>
      <c r="K49" s="5"/>
    </row>
  </sheetData>
  <mergeCells count="50">
    <mergeCell ref="J39:J40"/>
    <mergeCell ref="J33:J34"/>
    <mergeCell ref="D4:F4"/>
    <mergeCell ref="D5:F5"/>
    <mergeCell ref="D6:F6"/>
    <mergeCell ref="D7:F7"/>
    <mergeCell ref="J29:J30"/>
    <mergeCell ref="D33:F33"/>
    <mergeCell ref="J31:J32"/>
    <mergeCell ref="H29:H30"/>
    <mergeCell ref="D10:F10"/>
    <mergeCell ref="D32:F32"/>
    <mergeCell ref="D46:F46"/>
    <mergeCell ref="D3:F3"/>
    <mergeCell ref="D40:F40"/>
    <mergeCell ref="D28:F28"/>
    <mergeCell ref="D29:F29"/>
    <mergeCell ref="D30:F30"/>
    <mergeCell ref="P9:R9"/>
    <mergeCell ref="D22:F22"/>
    <mergeCell ref="D23:F23"/>
    <mergeCell ref="D24:F24"/>
    <mergeCell ref="D25:F25"/>
    <mergeCell ref="D17:F17"/>
    <mergeCell ref="D18:F18"/>
    <mergeCell ref="D19:F19"/>
    <mergeCell ref="D20:F20"/>
    <mergeCell ref="D21:F21"/>
    <mergeCell ref="D11:F11"/>
    <mergeCell ref="D12:F12"/>
    <mergeCell ref="D9:F9"/>
    <mergeCell ref="D15:F15"/>
    <mergeCell ref="D16:F16"/>
    <mergeCell ref="D13:F13"/>
    <mergeCell ref="C1:O1"/>
    <mergeCell ref="C2:O2"/>
    <mergeCell ref="D14:F14"/>
    <mergeCell ref="D47:F47"/>
    <mergeCell ref="D27:F27"/>
    <mergeCell ref="D26:F26"/>
    <mergeCell ref="D34:F34"/>
    <mergeCell ref="D35:F35"/>
    <mergeCell ref="D44:F44"/>
    <mergeCell ref="D41:F41"/>
    <mergeCell ref="D42:F42"/>
    <mergeCell ref="D8:F8"/>
    <mergeCell ref="D31:F31"/>
    <mergeCell ref="D36:F36"/>
    <mergeCell ref="D37:F37"/>
    <mergeCell ref="D38:F38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rowBreaks count="2" manualBreakCount="2">
    <brk id="22" min="2" max="14" man="1"/>
    <brk id="44" min="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zoomScale="98" zoomScaleNormal="98" zoomScaleSheetLayoutView="78" workbookViewId="0">
      <selection activeCell="N31" sqref="N31"/>
    </sheetView>
  </sheetViews>
  <sheetFormatPr defaultColWidth="9.28515625" defaultRowHeight="15.75"/>
  <cols>
    <col min="1" max="1" width="3.28515625" style="1" customWidth="1"/>
    <col min="2" max="2" width="9.28515625" style="1" hidden="1" customWidth="1"/>
    <col min="3" max="3" width="9.28515625" style="32" customWidth="1"/>
    <col min="4" max="4" width="14.7109375" style="3" customWidth="1"/>
    <col min="5" max="5" width="14.28515625" style="1" customWidth="1"/>
    <col min="6" max="6" width="12.42578125" style="1" customWidth="1"/>
    <col min="7" max="7" width="13.7109375" style="6" customWidth="1"/>
    <col min="8" max="8" width="17.5703125" style="2" customWidth="1"/>
    <col min="9" max="9" width="13" style="2" customWidth="1"/>
    <col min="10" max="10" width="15.28515625" style="2" customWidth="1"/>
    <col min="11" max="11" width="16.85546875" style="2" customWidth="1"/>
    <col min="12" max="12" width="16.140625" style="1" customWidth="1"/>
    <col min="13" max="13" width="16" style="1" customWidth="1"/>
    <col min="14" max="14" width="16.85546875" style="1" customWidth="1"/>
    <col min="15" max="15" width="20.5703125" style="1" customWidth="1"/>
    <col min="16" max="16384" width="9.28515625" style="1"/>
  </cols>
  <sheetData>
    <row r="1" spans="3:18" ht="97.9" customHeight="1"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3:18" ht="27" customHeight="1">
      <c r="C2" s="99" t="s">
        <v>123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3:18" s="2" customFormat="1" ht="63.75">
      <c r="C3" s="8" t="s">
        <v>4</v>
      </c>
      <c r="D3" s="117" t="s">
        <v>0</v>
      </c>
      <c r="E3" s="117"/>
      <c r="F3" s="117"/>
      <c r="G3" s="8" t="s">
        <v>1</v>
      </c>
      <c r="H3" s="8" t="s">
        <v>2</v>
      </c>
      <c r="I3" s="8" t="s">
        <v>3</v>
      </c>
      <c r="J3" s="8" t="s">
        <v>128</v>
      </c>
      <c r="K3" s="8" t="s">
        <v>125</v>
      </c>
      <c r="L3" s="8" t="s">
        <v>77</v>
      </c>
      <c r="M3" s="8" t="s">
        <v>78</v>
      </c>
      <c r="N3" s="8" t="s">
        <v>79</v>
      </c>
      <c r="O3" s="8"/>
    </row>
    <row r="4" spans="3:18" s="2" customFormat="1" ht="25.5">
      <c r="C4" s="10" t="s">
        <v>34</v>
      </c>
      <c r="D4" s="121" t="s">
        <v>121</v>
      </c>
      <c r="E4" s="122"/>
      <c r="F4" s="123"/>
      <c r="G4" s="9" t="s">
        <v>5</v>
      </c>
      <c r="H4" s="10" t="s">
        <v>21</v>
      </c>
      <c r="I4" s="9" t="s">
        <v>117</v>
      </c>
      <c r="J4" s="59"/>
      <c r="K4" s="11"/>
      <c r="L4" s="53">
        <f>M4</f>
        <v>300</v>
      </c>
      <c r="M4" s="53">
        <f>N4</f>
        <v>300</v>
      </c>
      <c r="N4" s="54">
        <v>300</v>
      </c>
      <c r="O4" s="54"/>
    </row>
    <row r="5" spans="3:18" s="2" customFormat="1" ht="25.5">
      <c r="C5" s="10" t="s">
        <v>35</v>
      </c>
      <c r="D5" s="109" t="s">
        <v>27</v>
      </c>
      <c r="E5" s="109"/>
      <c r="F5" s="109"/>
      <c r="G5" s="12" t="s">
        <v>6</v>
      </c>
      <c r="H5" s="10" t="s">
        <v>21</v>
      </c>
      <c r="I5" s="13" t="s">
        <v>28</v>
      </c>
      <c r="J5" s="60"/>
      <c r="K5" s="11"/>
      <c r="L5" s="53">
        <f t="shared" ref="L5:L23" si="0">M5/1.23</f>
        <v>650.40650406504062</v>
      </c>
      <c r="M5" s="53">
        <f t="shared" ref="M5:M23" si="1">N5</f>
        <v>800</v>
      </c>
      <c r="N5" s="54">
        <f>400+400</f>
        <v>800</v>
      </c>
      <c r="O5" s="54"/>
    </row>
    <row r="6" spans="3:18" s="2" customFormat="1" ht="25.5">
      <c r="C6" s="10" t="s">
        <v>36</v>
      </c>
      <c r="D6" s="109" t="s">
        <v>29</v>
      </c>
      <c r="E6" s="109"/>
      <c r="F6" s="109"/>
      <c r="G6" s="12" t="s">
        <v>6</v>
      </c>
      <c r="H6" s="10" t="s">
        <v>21</v>
      </c>
      <c r="I6" s="13" t="s">
        <v>28</v>
      </c>
      <c r="J6" s="60"/>
      <c r="K6" s="11"/>
      <c r="L6" s="53">
        <f t="shared" si="0"/>
        <v>4878.0487804878048</v>
      </c>
      <c r="M6" s="53">
        <f t="shared" si="1"/>
        <v>6000</v>
      </c>
      <c r="N6" s="54">
        <f>1000+3000+2000</f>
        <v>6000</v>
      </c>
      <c r="O6" s="54"/>
    </row>
    <row r="7" spans="3:18" s="2" customFormat="1" ht="25.5">
      <c r="C7" s="10" t="s">
        <v>37</v>
      </c>
      <c r="D7" s="109" t="s">
        <v>30</v>
      </c>
      <c r="E7" s="109"/>
      <c r="F7" s="109"/>
      <c r="G7" s="12" t="s">
        <v>6</v>
      </c>
      <c r="H7" s="10" t="s">
        <v>21</v>
      </c>
      <c r="I7" s="13" t="s">
        <v>28</v>
      </c>
      <c r="J7" s="60"/>
      <c r="K7" s="11"/>
      <c r="L7" s="53">
        <f t="shared" si="0"/>
        <v>121.95121951219512</v>
      </c>
      <c r="M7" s="53">
        <f t="shared" si="1"/>
        <v>150</v>
      </c>
      <c r="N7" s="54">
        <v>150</v>
      </c>
      <c r="O7" s="54"/>
    </row>
    <row r="8" spans="3:18" s="2" customFormat="1" ht="25.5">
      <c r="C8" s="10" t="s">
        <v>38</v>
      </c>
      <c r="D8" s="109" t="s">
        <v>31</v>
      </c>
      <c r="E8" s="109"/>
      <c r="F8" s="109"/>
      <c r="G8" s="12" t="s">
        <v>6</v>
      </c>
      <c r="H8" s="10" t="s">
        <v>21</v>
      </c>
      <c r="I8" s="13" t="s">
        <v>28</v>
      </c>
      <c r="J8" s="60"/>
      <c r="K8" s="11"/>
      <c r="L8" s="53">
        <f t="shared" si="0"/>
        <v>6910.5691056910573</v>
      </c>
      <c r="M8" s="53">
        <f t="shared" si="1"/>
        <v>8500</v>
      </c>
      <c r="N8" s="54">
        <f>5500+3000</f>
        <v>8500</v>
      </c>
      <c r="O8" s="54"/>
    </row>
    <row r="9" spans="3:18" s="2" customFormat="1" ht="29.25" customHeight="1">
      <c r="C9" s="10" t="s">
        <v>39</v>
      </c>
      <c r="D9" s="109" t="s">
        <v>32</v>
      </c>
      <c r="E9" s="109"/>
      <c r="F9" s="109"/>
      <c r="G9" s="12" t="s">
        <v>6</v>
      </c>
      <c r="H9" s="10" t="s">
        <v>21</v>
      </c>
      <c r="I9" s="13" t="s">
        <v>28</v>
      </c>
      <c r="J9" s="60"/>
      <c r="K9" s="11"/>
      <c r="L9" s="53">
        <f t="shared" si="0"/>
        <v>731.70731707317077</v>
      </c>
      <c r="M9" s="53">
        <f t="shared" si="1"/>
        <v>900</v>
      </c>
      <c r="N9" s="54">
        <f>900</f>
        <v>900</v>
      </c>
      <c r="O9" s="54"/>
      <c r="P9" s="114"/>
      <c r="Q9" s="115"/>
      <c r="R9" s="115"/>
    </row>
    <row r="10" spans="3:18" s="2" customFormat="1" ht="25.5">
      <c r="C10" s="10" t="s">
        <v>40</v>
      </c>
      <c r="D10" s="109" t="s">
        <v>33</v>
      </c>
      <c r="E10" s="109"/>
      <c r="F10" s="109"/>
      <c r="G10" s="12" t="s">
        <v>6</v>
      </c>
      <c r="H10" s="10" t="s">
        <v>21</v>
      </c>
      <c r="I10" s="13" t="s">
        <v>28</v>
      </c>
      <c r="J10" s="60"/>
      <c r="K10" s="11"/>
      <c r="L10" s="53">
        <f>M10/1.08</f>
        <v>1388.8888888888887</v>
      </c>
      <c r="M10" s="53">
        <f t="shared" si="1"/>
        <v>1500</v>
      </c>
      <c r="N10" s="54">
        <f>500+1000</f>
        <v>1500</v>
      </c>
      <c r="O10" s="54"/>
    </row>
    <row r="11" spans="3:18" s="2" customFormat="1" ht="25.5">
      <c r="C11" s="10" t="s">
        <v>41</v>
      </c>
      <c r="D11" s="109" t="s">
        <v>57</v>
      </c>
      <c r="E11" s="109"/>
      <c r="F11" s="109"/>
      <c r="G11" s="12" t="s">
        <v>6</v>
      </c>
      <c r="H11" s="10" t="s">
        <v>21</v>
      </c>
      <c r="I11" s="13" t="s">
        <v>28</v>
      </c>
      <c r="J11" s="60"/>
      <c r="K11" s="11"/>
      <c r="L11" s="53">
        <f>M11</f>
        <v>9303</v>
      </c>
      <c r="M11" s="53">
        <f t="shared" si="1"/>
        <v>9303</v>
      </c>
      <c r="N11" s="54">
        <f>9000+303</f>
        <v>9303</v>
      </c>
      <c r="O11" s="54"/>
    </row>
    <row r="12" spans="3:18" s="2" customFormat="1" ht="25.5">
      <c r="C12" s="10" t="s">
        <v>42</v>
      </c>
      <c r="D12" s="109" t="s">
        <v>58</v>
      </c>
      <c r="E12" s="109"/>
      <c r="F12" s="109"/>
      <c r="G12" s="12" t="s">
        <v>5</v>
      </c>
      <c r="H12" s="10" t="s">
        <v>21</v>
      </c>
      <c r="I12" s="13" t="s">
        <v>28</v>
      </c>
      <c r="J12" s="60"/>
      <c r="K12" s="11"/>
      <c r="L12" s="53">
        <f>M12</f>
        <v>12000</v>
      </c>
      <c r="M12" s="53">
        <f t="shared" si="1"/>
        <v>12000</v>
      </c>
      <c r="N12" s="54">
        <v>12000</v>
      </c>
      <c r="O12" s="54"/>
    </row>
    <row r="13" spans="3:18" s="2" customFormat="1" ht="25.5">
      <c r="C13" s="10" t="s">
        <v>43</v>
      </c>
      <c r="D13" s="109" t="s">
        <v>59</v>
      </c>
      <c r="E13" s="109"/>
      <c r="F13" s="109"/>
      <c r="G13" s="12" t="s">
        <v>5</v>
      </c>
      <c r="H13" s="10" t="s">
        <v>21</v>
      </c>
      <c r="I13" s="13" t="s">
        <v>28</v>
      </c>
      <c r="J13" s="60"/>
      <c r="K13" s="11"/>
      <c r="L13" s="53">
        <f t="shared" si="0"/>
        <v>4227.6422764227646</v>
      </c>
      <c r="M13" s="53">
        <f t="shared" si="1"/>
        <v>5200</v>
      </c>
      <c r="N13" s="54">
        <f>4020+100+1080</f>
        <v>5200</v>
      </c>
      <c r="O13" s="54"/>
    </row>
    <row r="14" spans="3:18" s="2" customFormat="1" ht="25.5">
      <c r="C14" s="10" t="s">
        <v>44</v>
      </c>
      <c r="D14" s="100" t="s">
        <v>106</v>
      </c>
      <c r="E14" s="101"/>
      <c r="F14" s="102"/>
      <c r="G14" s="12" t="s">
        <v>5</v>
      </c>
      <c r="H14" s="10" t="s">
        <v>21</v>
      </c>
      <c r="I14" s="13" t="s">
        <v>28</v>
      </c>
      <c r="J14" s="60"/>
      <c r="K14" s="11"/>
      <c r="L14" s="53">
        <v>88100</v>
      </c>
      <c r="M14" s="53">
        <f t="shared" si="1"/>
        <v>75000</v>
      </c>
      <c r="N14" s="54">
        <f>66000+5400+3600</f>
        <v>75000</v>
      </c>
      <c r="O14" s="54"/>
    </row>
    <row r="15" spans="3:18" s="2" customFormat="1" ht="25.5">
      <c r="C15" s="10" t="s">
        <v>45</v>
      </c>
      <c r="D15" s="116" t="s">
        <v>105</v>
      </c>
      <c r="E15" s="116"/>
      <c r="F15" s="116"/>
      <c r="G15" s="12" t="s">
        <v>5</v>
      </c>
      <c r="H15" s="10" t="s">
        <v>21</v>
      </c>
      <c r="I15" s="13" t="s">
        <v>28</v>
      </c>
      <c r="J15" s="60"/>
      <c r="K15" s="11"/>
      <c r="L15" s="53">
        <f t="shared" si="0"/>
        <v>42926.829268292684</v>
      </c>
      <c r="M15" s="53">
        <f t="shared" si="1"/>
        <v>52800</v>
      </c>
      <c r="N15" s="54">
        <f>21600+31200</f>
        <v>52800</v>
      </c>
      <c r="O15" s="54"/>
    </row>
    <row r="16" spans="3:18" s="2" customFormat="1" ht="25.5">
      <c r="C16" s="10" t="s">
        <v>46</v>
      </c>
      <c r="D16" s="109" t="s">
        <v>60</v>
      </c>
      <c r="E16" s="109"/>
      <c r="F16" s="109"/>
      <c r="G16" s="12" t="s">
        <v>5</v>
      </c>
      <c r="H16" s="10" t="s">
        <v>21</v>
      </c>
      <c r="I16" s="13" t="s">
        <v>28</v>
      </c>
      <c r="J16" s="60"/>
      <c r="K16" s="11"/>
      <c r="L16" s="53">
        <f>M16</f>
        <v>2500</v>
      </c>
      <c r="M16" s="53">
        <f t="shared" si="1"/>
        <v>2500</v>
      </c>
      <c r="N16" s="54">
        <f>2500</f>
        <v>2500</v>
      </c>
      <c r="O16" s="54"/>
    </row>
    <row r="17" spans="3:15" s="2" customFormat="1" ht="25.5">
      <c r="C17" s="10" t="s">
        <v>47</v>
      </c>
      <c r="D17" s="109" t="s">
        <v>61</v>
      </c>
      <c r="E17" s="109"/>
      <c r="F17" s="109"/>
      <c r="G17" s="12" t="s">
        <v>5</v>
      </c>
      <c r="H17" s="10" t="s">
        <v>21</v>
      </c>
      <c r="I17" s="13" t="s">
        <v>28</v>
      </c>
      <c r="J17" s="60"/>
      <c r="K17" s="11"/>
      <c r="L17" s="53">
        <f>M17</f>
        <v>21600</v>
      </c>
      <c r="M17" s="53">
        <f t="shared" si="1"/>
        <v>21600</v>
      </c>
      <c r="N17" s="54">
        <f>21600</f>
        <v>21600</v>
      </c>
      <c r="O17" s="54"/>
    </row>
    <row r="18" spans="3:15" s="2" customFormat="1" ht="25.5">
      <c r="C18" s="10" t="s">
        <v>48</v>
      </c>
      <c r="D18" s="109" t="s">
        <v>62</v>
      </c>
      <c r="E18" s="109"/>
      <c r="F18" s="109"/>
      <c r="G18" s="12" t="s">
        <v>5</v>
      </c>
      <c r="H18" s="10" t="s">
        <v>21</v>
      </c>
      <c r="I18" s="13" t="s">
        <v>28</v>
      </c>
      <c r="J18" s="60"/>
      <c r="K18" s="11"/>
      <c r="L18" s="53">
        <f>M18</f>
        <v>6000</v>
      </c>
      <c r="M18" s="53">
        <f t="shared" si="1"/>
        <v>6000</v>
      </c>
      <c r="N18" s="54">
        <f>6000</f>
        <v>6000</v>
      </c>
      <c r="O18" s="54"/>
    </row>
    <row r="19" spans="3:15" s="2" customFormat="1" ht="25.5">
      <c r="C19" s="10" t="s">
        <v>49</v>
      </c>
      <c r="D19" s="109" t="s">
        <v>63</v>
      </c>
      <c r="E19" s="109"/>
      <c r="F19" s="109"/>
      <c r="G19" s="12" t="s">
        <v>5</v>
      </c>
      <c r="H19" s="10" t="s">
        <v>21</v>
      </c>
      <c r="I19" s="13" t="s">
        <v>28</v>
      </c>
      <c r="J19" s="60"/>
      <c r="K19" s="11"/>
      <c r="L19" s="53">
        <f t="shared" si="0"/>
        <v>6048.7804878048782</v>
      </c>
      <c r="M19" s="53">
        <f t="shared" si="1"/>
        <v>7440</v>
      </c>
      <c r="N19" s="54">
        <f>4320+3120</f>
        <v>7440</v>
      </c>
      <c r="O19" s="54"/>
    </row>
    <row r="20" spans="3:15" s="2" customFormat="1" ht="25.5">
      <c r="C20" s="10" t="s">
        <v>50</v>
      </c>
      <c r="D20" s="109" t="s">
        <v>64</v>
      </c>
      <c r="E20" s="109"/>
      <c r="F20" s="109"/>
      <c r="G20" s="12" t="s">
        <v>5</v>
      </c>
      <c r="H20" s="10" t="s">
        <v>21</v>
      </c>
      <c r="I20" s="13" t="s">
        <v>28</v>
      </c>
      <c r="J20" s="60"/>
      <c r="K20" s="11"/>
      <c r="L20" s="53">
        <f>M20</f>
        <v>79900</v>
      </c>
      <c r="M20" s="53">
        <f t="shared" si="1"/>
        <v>79900</v>
      </c>
      <c r="N20" s="54">
        <f>36000+700+43200</f>
        <v>79900</v>
      </c>
      <c r="O20" s="54"/>
    </row>
    <row r="21" spans="3:15" s="2" customFormat="1" ht="25.5">
      <c r="C21" s="10" t="s">
        <v>51</v>
      </c>
      <c r="D21" s="109" t="s">
        <v>65</v>
      </c>
      <c r="E21" s="109"/>
      <c r="F21" s="109"/>
      <c r="G21" s="12" t="s">
        <v>6</v>
      </c>
      <c r="H21" s="10" t="s">
        <v>21</v>
      </c>
      <c r="I21" s="13" t="s">
        <v>28</v>
      </c>
      <c r="J21" s="60"/>
      <c r="K21" s="11"/>
      <c r="L21" s="53">
        <f t="shared" si="0"/>
        <v>9114.6341463414628</v>
      </c>
      <c r="M21" s="53">
        <f t="shared" si="1"/>
        <v>11211</v>
      </c>
      <c r="N21" s="54">
        <f>650+2825+460+1276+6000</f>
        <v>11211</v>
      </c>
      <c r="O21" s="54"/>
    </row>
    <row r="22" spans="3:15" s="2" customFormat="1" ht="25.5">
      <c r="C22" s="10" t="s">
        <v>52</v>
      </c>
      <c r="D22" s="109" t="s">
        <v>68</v>
      </c>
      <c r="E22" s="109"/>
      <c r="F22" s="109"/>
      <c r="G22" s="12" t="s">
        <v>5</v>
      </c>
      <c r="H22" s="10" t="s">
        <v>21</v>
      </c>
      <c r="I22" s="13" t="s">
        <v>28</v>
      </c>
      <c r="J22" s="60"/>
      <c r="K22" s="11"/>
      <c r="L22" s="53">
        <f>M22</f>
        <v>5000</v>
      </c>
      <c r="M22" s="53">
        <f t="shared" si="1"/>
        <v>5000</v>
      </c>
      <c r="N22" s="54">
        <v>5000</v>
      </c>
      <c r="O22" s="54"/>
    </row>
    <row r="23" spans="3:15" s="2" customFormat="1" ht="25.5">
      <c r="C23" s="10" t="s">
        <v>53</v>
      </c>
      <c r="D23" s="100" t="s">
        <v>69</v>
      </c>
      <c r="E23" s="101"/>
      <c r="F23" s="102"/>
      <c r="G23" s="12" t="s">
        <v>5</v>
      </c>
      <c r="H23" s="10" t="s">
        <v>21</v>
      </c>
      <c r="I23" s="13" t="s">
        <v>28</v>
      </c>
      <c r="J23" s="60"/>
      <c r="K23" s="11"/>
      <c r="L23" s="53">
        <f t="shared" si="0"/>
        <v>34435.772357723581</v>
      </c>
      <c r="M23" s="53">
        <f t="shared" si="1"/>
        <v>42356</v>
      </c>
      <c r="N23" s="54">
        <f>2000+1200+15000+600+156+4000+500+1800+500+2400+1200+7000+500+2500+3000</f>
        <v>42356</v>
      </c>
      <c r="O23" s="54"/>
    </row>
    <row r="24" spans="3:15" s="2" customFormat="1" ht="25.5">
      <c r="C24" s="10" t="s">
        <v>54</v>
      </c>
      <c r="D24" s="109" t="s">
        <v>70</v>
      </c>
      <c r="E24" s="109"/>
      <c r="F24" s="109"/>
      <c r="G24" s="12" t="s">
        <v>5</v>
      </c>
      <c r="H24" s="10" t="s">
        <v>21</v>
      </c>
      <c r="I24" s="13" t="s">
        <v>28</v>
      </c>
      <c r="J24" s="60"/>
      <c r="K24" s="11"/>
      <c r="L24" s="53">
        <f>M24/1.08</f>
        <v>2444.4444444444443</v>
      </c>
      <c r="M24" s="53">
        <f>N24</f>
        <v>2640</v>
      </c>
      <c r="N24" s="54">
        <f>2640</f>
        <v>2640</v>
      </c>
      <c r="O24" s="54"/>
    </row>
    <row r="25" spans="3:15" s="2" customFormat="1" ht="25.5">
      <c r="C25" s="10" t="s">
        <v>55</v>
      </c>
      <c r="D25" s="100" t="s">
        <v>122</v>
      </c>
      <c r="E25" s="101"/>
      <c r="F25" s="102"/>
      <c r="G25" s="12" t="s">
        <v>5</v>
      </c>
      <c r="H25" s="10" t="s">
        <v>21</v>
      </c>
      <c r="I25" s="13" t="s">
        <v>28</v>
      </c>
      <c r="J25" s="60"/>
      <c r="K25" s="11"/>
      <c r="L25" s="53">
        <f>N25</f>
        <v>18312</v>
      </c>
      <c r="M25" s="53">
        <f>N25</f>
        <v>18312</v>
      </c>
      <c r="N25" s="54">
        <v>18312</v>
      </c>
      <c r="O25" s="54"/>
    </row>
    <row r="26" spans="3:15" s="2" customFormat="1" ht="29.25" customHeight="1">
      <c r="C26" s="10" t="s">
        <v>84</v>
      </c>
      <c r="D26" s="131" t="s">
        <v>124</v>
      </c>
      <c r="E26" s="132"/>
      <c r="F26" s="133"/>
      <c r="G26" s="12" t="s">
        <v>5</v>
      </c>
      <c r="H26" s="21" t="s">
        <v>126</v>
      </c>
      <c r="I26" s="13" t="s">
        <v>127</v>
      </c>
      <c r="J26" s="60"/>
      <c r="K26" s="11"/>
      <c r="L26" s="53">
        <f>M26/1.08</f>
        <v>11111.111111111109</v>
      </c>
      <c r="M26" s="53">
        <v>12000</v>
      </c>
      <c r="N26" s="54">
        <v>12000</v>
      </c>
      <c r="O26" s="54"/>
    </row>
    <row r="27" spans="3:15" ht="39" customHeight="1">
      <c r="C27" s="10" t="s">
        <v>85</v>
      </c>
      <c r="D27" s="110" t="s">
        <v>8</v>
      </c>
      <c r="E27" s="110"/>
      <c r="F27" s="110"/>
      <c r="G27" s="12" t="s">
        <v>5</v>
      </c>
      <c r="H27" s="10" t="s">
        <v>21</v>
      </c>
      <c r="I27" s="10" t="s">
        <v>118</v>
      </c>
      <c r="J27" s="61"/>
      <c r="K27" s="47">
        <v>19800</v>
      </c>
      <c r="L27" s="55"/>
      <c r="M27" s="56"/>
      <c r="N27" s="57"/>
      <c r="O27" s="47">
        <v>19800</v>
      </c>
    </row>
    <row r="28" spans="3:15" ht="30" customHeight="1">
      <c r="C28" s="10" t="s">
        <v>86</v>
      </c>
      <c r="D28" s="110" t="s">
        <v>25</v>
      </c>
      <c r="E28" s="110"/>
      <c r="F28" s="110"/>
      <c r="G28" s="12" t="s">
        <v>5</v>
      </c>
      <c r="H28" s="10" t="s">
        <v>21</v>
      </c>
      <c r="I28" s="10" t="s">
        <v>118</v>
      </c>
      <c r="J28" s="61"/>
      <c r="K28" s="48">
        <v>6600</v>
      </c>
      <c r="L28" s="55"/>
      <c r="M28" s="56"/>
      <c r="N28" s="57"/>
      <c r="O28" s="48">
        <v>6600</v>
      </c>
    </row>
    <row r="29" spans="3:15" ht="25.5">
      <c r="C29" s="10" t="s">
        <v>87</v>
      </c>
      <c r="D29" s="110" t="s">
        <v>22</v>
      </c>
      <c r="E29" s="110"/>
      <c r="F29" s="110"/>
      <c r="G29" s="12" t="s">
        <v>5</v>
      </c>
      <c r="H29" s="10" t="s">
        <v>21</v>
      </c>
      <c r="I29" s="10" t="s">
        <v>118</v>
      </c>
      <c r="J29" s="61"/>
      <c r="K29" s="49">
        <v>4500</v>
      </c>
      <c r="L29" s="58"/>
      <c r="M29" s="56"/>
      <c r="N29" s="57"/>
      <c r="O29" s="49">
        <v>4500</v>
      </c>
    </row>
    <row r="30" spans="3:15" ht="25.5">
      <c r="C30" s="10" t="s">
        <v>88</v>
      </c>
      <c r="D30" s="110" t="s">
        <v>26</v>
      </c>
      <c r="E30" s="110"/>
      <c r="F30" s="110"/>
      <c r="G30" s="12" t="s">
        <v>5</v>
      </c>
      <c r="H30" s="10" t="s">
        <v>21</v>
      </c>
      <c r="I30" s="10" t="s">
        <v>118</v>
      </c>
      <c r="J30" s="10"/>
      <c r="K30" s="50">
        <v>3510</v>
      </c>
      <c r="L30" s="55"/>
      <c r="M30" s="56"/>
      <c r="N30" s="57"/>
      <c r="O30" s="50">
        <v>3510</v>
      </c>
    </row>
    <row r="31" spans="3:15" ht="30.75" customHeight="1">
      <c r="C31" s="10" t="s">
        <v>89</v>
      </c>
      <c r="D31" s="106" t="s">
        <v>130</v>
      </c>
      <c r="E31" s="107"/>
      <c r="F31" s="108"/>
      <c r="G31" s="12" t="s">
        <v>5</v>
      </c>
      <c r="H31" s="21" t="s">
        <v>18</v>
      </c>
      <c r="I31" s="10" t="s">
        <v>118</v>
      </c>
      <c r="J31" s="62">
        <f>K31/1.23</f>
        <v>8013.9918699186983</v>
      </c>
      <c r="K31" s="63">
        <v>9857.2099999999991</v>
      </c>
      <c r="L31" s="130">
        <f>SUM(K31:K32)</f>
        <v>39857.21</v>
      </c>
      <c r="M31" s="56"/>
      <c r="N31" s="57"/>
      <c r="O31" s="128">
        <f>K31+K32</f>
        <v>39857.21</v>
      </c>
    </row>
    <row r="32" spans="3:15" ht="38.25">
      <c r="C32" s="10" t="s">
        <v>90</v>
      </c>
      <c r="D32" s="106" t="s">
        <v>129</v>
      </c>
      <c r="E32" s="107"/>
      <c r="F32" s="108"/>
      <c r="G32" s="12" t="s">
        <v>5</v>
      </c>
      <c r="H32" s="21" t="s">
        <v>18</v>
      </c>
      <c r="I32" s="10" t="s">
        <v>118</v>
      </c>
      <c r="J32" s="62">
        <f>K32/1.23</f>
        <v>24390.243902439026</v>
      </c>
      <c r="K32" s="51">
        <v>30000</v>
      </c>
      <c r="L32" s="127"/>
      <c r="M32" s="56"/>
      <c r="N32" s="57"/>
      <c r="O32" s="129"/>
    </row>
    <row r="33" spans="3:16" ht="38.25">
      <c r="C33" s="10" t="s">
        <v>91</v>
      </c>
      <c r="D33" s="106" t="s">
        <v>119</v>
      </c>
      <c r="E33" s="107"/>
      <c r="F33" s="108"/>
      <c r="G33" s="12" t="s">
        <v>5</v>
      </c>
      <c r="H33" s="21" t="s">
        <v>18</v>
      </c>
      <c r="I33" s="10" t="s">
        <v>118</v>
      </c>
      <c r="J33" s="62">
        <f>K33/1.08</f>
        <v>16481.481481481482</v>
      </c>
      <c r="K33" s="52">
        <v>17800</v>
      </c>
      <c r="L33" s="56"/>
      <c r="M33" s="56"/>
      <c r="N33" s="57"/>
      <c r="O33" s="52">
        <v>17800</v>
      </c>
      <c r="P33" s="46"/>
    </row>
    <row r="34" spans="3:16" ht="25.5">
      <c r="C34" s="10" t="s">
        <v>92</v>
      </c>
      <c r="D34" s="106" t="s">
        <v>120</v>
      </c>
      <c r="E34" s="107"/>
      <c r="F34" s="108"/>
      <c r="G34" s="12" t="s">
        <v>5</v>
      </c>
      <c r="H34" s="10" t="s">
        <v>21</v>
      </c>
      <c r="I34" s="10" t="s">
        <v>118</v>
      </c>
      <c r="J34" s="62">
        <f>K34/1.23</f>
        <v>2601.6260162601625</v>
      </c>
      <c r="K34" s="41">
        <v>3200</v>
      </c>
      <c r="L34" s="56"/>
      <c r="M34" s="56"/>
      <c r="N34" s="57"/>
      <c r="O34" s="41">
        <v>3200</v>
      </c>
    </row>
    <row r="35" spans="3:16">
      <c r="C35" s="31"/>
      <c r="D35" s="4"/>
      <c r="E35" s="4"/>
      <c r="F35" s="4"/>
      <c r="K35" s="5"/>
    </row>
    <row r="36" spans="3:16">
      <c r="C36" s="31"/>
      <c r="D36" s="4"/>
      <c r="E36" s="4"/>
      <c r="F36" s="4"/>
      <c r="K36" s="5"/>
    </row>
  </sheetData>
  <mergeCells count="37">
    <mergeCell ref="D6:F6"/>
    <mergeCell ref="D26:F26"/>
    <mergeCell ref="C1:O1"/>
    <mergeCell ref="C2:O2"/>
    <mergeCell ref="D3:F3"/>
    <mergeCell ref="D4:F4"/>
    <mergeCell ref="D5:F5"/>
    <mergeCell ref="D17:F17"/>
    <mergeCell ref="D7:F7"/>
    <mergeCell ref="D8:F8"/>
    <mergeCell ref="D9:F9"/>
    <mergeCell ref="D14:F14"/>
    <mergeCell ref="D15:F15"/>
    <mergeCell ref="D16:F16"/>
    <mergeCell ref="D18:F18"/>
    <mergeCell ref="D19:F19"/>
    <mergeCell ref="P9:R9"/>
    <mergeCell ref="D10:F10"/>
    <mergeCell ref="D11:F11"/>
    <mergeCell ref="D12:F12"/>
    <mergeCell ref="D13:F13"/>
    <mergeCell ref="D20:F20"/>
    <mergeCell ref="D21:F21"/>
    <mergeCell ref="D22:F22"/>
    <mergeCell ref="D23:F23"/>
    <mergeCell ref="D24:F24"/>
    <mergeCell ref="D25:F25"/>
    <mergeCell ref="D27:F27"/>
    <mergeCell ref="D32:F32"/>
    <mergeCell ref="D28:F28"/>
    <mergeCell ref="O31:O32"/>
    <mergeCell ref="L31:L32"/>
    <mergeCell ref="D33:F33"/>
    <mergeCell ref="D34:F34"/>
    <mergeCell ref="D30:F30"/>
    <mergeCell ref="D29:F29"/>
    <mergeCell ref="D31:F3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tabSelected="1" topLeftCell="A37" zoomScale="96" zoomScaleNormal="96" zoomScaleSheetLayoutView="78" workbookViewId="0">
      <selection activeCell="A27" sqref="A27:XFD27"/>
    </sheetView>
  </sheetViews>
  <sheetFormatPr defaultColWidth="9.28515625" defaultRowHeight="15.75"/>
  <cols>
    <col min="1" max="1" width="3.28515625" style="1" customWidth="1"/>
    <col min="2" max="2" width="9.28515625" style="1" hidden="1" customWidth="1"/>
    <col min="3" max="3" width="9.28515625" style="32" customWidth="1"/>
    <col min="4" max="4" width="15.85546875" style="3" customWidth="1"/>
    <col min="5" max="5" width="14.28515625" style="1" customWidth="1"/>
    <col min="6" max="6" width="16.7109375" style="1" customWidth="1"/>
    <col min="7" max="7" width="13.7109375" style="6" customWidth="1"/>
    <col min="8" max="8" width="17.5703125" style="2" customWidth="1"/>
    <col min="9" max="9" width="13" style="2" customWidth="1"/>
    <col min="10" max="10" width="22.85546875" style="2" customWidth="1"/>
    <col min="11" max="11" width="19.140625" style="2" customWidth="1"/>
    <col min="12" max="12" width="21.5703125" style="2" customWidth="1"/>
    <col min="13" max="13" width="17.7109375" style="83" customWidth="1"/>
    <col min="14" max="14" width="16.85546875" style="83" customWidth="1"/>
    <col min="15" max="15" width="19.28515625" style="71" customWidth="1"/>
    <col min="16" max="16" width="28.7109375" style="1" customWidth="1"/>
    <col min="17" max="16384" width="9.28515625" style="1"/>
  </cols>
  <sheetData>
    <row r="1" spans="3:17" ht="97.9" customHeight="1"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3:17" ht="27" customHeight="1">
      <c r="C2" s="99" t="s">
        <v>131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3:17" s="2" customFormat="1" ht="63.75">
      <c r="C3" s="8" t="s">
        <v>4</v>
      </c>
      <c r="D3" s="117" t="s">
        <v>0</v>
      </c>
      <c r="E3" s="117"/>
      <c r="F3" s="117"/>
      <c r="G3" s="8" t="s">
        <v>1</v>
      </c>
      <c r="H3" s="8" t="s">
        <v>2</v>
      </c>
      <c r="I3" s="8" t="s">
        <v>3</v>
      </c>
      <c r="J3" s="8" t="s">
        <v>78</v>
      </c>
      <c r="K3" s="8" t="s">
        <v>150</v>
      </c>
      <c r="L3" s="8" t="s">
        <v>151</v>
      </c>
      <c r="M3" s="96" t="s">
        <v>132</v>
      </c>
      <c r="N3" s="97" t="s">
        <v>139</v>
      </c>
      <c r="O3" s="8" t="s">
        <v>79</v>
      </c>
    </row>
    <row r="4" spans="3:17" s="2" customFormat="1" ht="25.5">
      <c r="C4" s="10">
        <v>1</v>
      </c>
      <c r="D4" s="121" t="s">
        <v>133</v>
      </c>
      <c r="E4" s="122"/>
      <c r="F4" s="123"/>
      <c r="G4" s="65" t="s">
        <v>5</v>
      </c>
      <c r="H4" s="10" t="s">
        <v>21</v>
      </c>
      <c r="I4" s="13" t="s">
        <v>28</v>
      </c>
      <c r="J4" s="59"/>
      <c r="K4" s="95">
        <f>L4/1.23</f>
        <v>243.90243902439025</v>
      </c>
      <c r="L4" s="95">
        <f>SUM(M4:O4)</f>
        <v>300</v>
      </c>
      <c r="M4" s="72"/>
      <c r="N4" s="73"/>
      <c r="O4" s="66">
        <v>300</v>
      </c>
    </row>
    <row r="5" spans="3:17" s="2" customFormat="1" ht="25.5">
      <c r="C5" s="10">
        <v>2</v>
      </c>
      <c r="D5" s="109" t="s">
        <v>27</v>
      </c>
      <c r="E5" s="109"/>
      <c r="F5" s="109"/>
      <c r="G5" s="14" t="s">
        <v>6</v>
      </c>
      <c r="H5" s="10" t="s">
        <v>21</v>
      </c>
      <c r="I5" s="13" t="s">
        <v>28</v>
      </c>
      <c r="J5" s="59"/>
      <c r="K5" s="95">
        <f t="shared" ref="K5:K40" si="0">L5/1.23</f>
        <v>731.70731707317077</v>
      </c>
      <c r="L5" s="95">
        <f t="shared" ref="L5:L41" si="1">SUM(M5:O5)</f>
        <v>900</v>
      </c>
      <c r="M5" s="74"/>
      <c r="N5" s="73"/>
      <c r="O5" s="66">
        <f>450+450</f>
        <v>900</v>
      </c>
    </row>
    <row r="6" spans="3:17" s="2" customFormat="1" ht="25.5">
      <c r="C6" s="10">
        <v>3</v>
      </c>
      <c r="D6" s="109" t="s">
        <v>29</v>
      </c>
      <c r="E6" s="109"/>
      <c r="F6" s="109"/>
      <c r="G6" s="14" t="s">
        <v>6</v>
      </c>
      <c r="H6" s="10" t="s">
        <v>21</v>
      </c>
      <c r="I6" s="13" t="s">
        <v>28</v>
      </c>
      <c r="J6" s="59"/>
      <c r="K6" s="95">
        <f t="shared" si="0"/>
        <v>7317.0731707317073</v>
      </c>
      <c r="L6" s="95">
        <f t="shared" si="1"/>
        <v>9000</v>
      </c>
      <c r="M6" s="74"/>
      <c r="N6" s="73"/>
      <c r="O6" s="66">
        <f>3000+2000+2000+2000</f>
        <v>9000</v>
      </c>
    </row>
    <row r="7" spans="3:17" s="2" customFormat="1" ht="25.5">
      <c r="C7" s="10">
        <v>4</v>
      </c>
      <c r="D7" s="109" t="s">
        <v>30</v>
      </c>
      <c r="E7" s="109"/>
      <c r="F7" s="109"/>
      <c r="G7" s="14" t="s">
        <v>6</v>
      </c>
      <c r="H7" s="10" t="s">
        <v>21</v>
      </c>
      <c r="I7" s="13" t="s">
        <v>28</v>
      </c>
      <c r="J7" s="59"/>
      <c r="K7" s="95">
        <f t="shared" si="0"/>
        <v>121.95121951219512</v>
      </c>
      <c r="L7" s="95">
        <f t="shared" si="1"/>
        <v>150</v>
      </c>
      <c r="M7" s="74"/>
      <c r="N7" s="73"/>
      <c r="O7" s="66">
        <v>150</v>
      </c>
    </row>
    <row r="8" spans="3:17" s="2" customFormat="1" ht="25.5">
      <c r="C8" s="10">
        <v>5</v>
      </c>
      <c r="D8" s="109" t="s">
        <v>31</v>
      </c>
      <c r="E8" s="109"/>
      <c r="F8" s="109"/>
      <c r="G8" s="14" t="s">
        <v>6</v>
      </c>
      <c r="H8" s="10" t="s">
        <v>21</v>
      </c>
      <c r="I8" s="13" t="s">
        <v>28</v>
      </c>
      <c r="J8" s="59"/>
      <c r="K8" s="95">
        <f t="shared" si="0"/>
        <v>7317.0731707317073</v>
      </c>
      <c r="L8" s="95">
        <f t="shared" si="1"/>
        <v>9000</v>
      </c>
      <c r="M8" s="74"/>
      <c r="N8" s="73"/>
      <c r="O8" s="66">
        <f>6000+3000</f>
        <v>9000</v>
      </c>
    </row>
    <row r="9" spans="3:17" s="2" customFormat="1" ht="29.25" customHeight="1">
      <c r="C9" s="10">
        <v>6</v>
      </c>
      <c r="D9" s="109" t="s">
        <v>32</v>
      </c>
      <c r="E9" s="109"/>
      <c r="F9" s="109"/>
      <c r="G9" s="14" t="s">
        <v>6</v>
      </c>
      <c r="H9" s="10" t="s">
        <v>21</v>
      </c>
      <c r="I9" s="13" t="s">
        <v>28</v>
      </c>
      <c r="J9" s="59"/>
      <c r="K9" s="95">
        <f t="shared" si="0"/>
        <v>12487.804878048781</v>
      </c>
      <c r="L9" s="95">
        <f t="shared" si="1"/>
        <v>15360</v>
      </c>
      <c r="M9" s="74"/>
      <c r="N9" s="73"/>
      <c r="O9" s="66">
        <f>1000+960+1000+2400+10000</f>
        <v>15360</v>
      </c>
      <c r="P9" s="115"/>
      <c r="Q9" s="115"/>
    </row>
    <row r="10" spans="3:17" s="2" customFormat="1" ht="29.25" customHeight="1">
      <c r="C10" s="10">
        <v>7</v>
      </c>
      <c r="D10" s="100" t="s">
        <v>134</v>
      </c>
      <c r="E10" s="101"/>
      <c r="F10" s="102"/>
      <c r="G10" s="14" t="s">
        <v>6</v>
      </c>
      <c r="H10" s="10" t="s">
        <v>21</v>
      </c>
      <c r="I10" s="13" t="s">
        <v>28</v>
      </c>
      <c r="J10" s="59"/>
      <c r="K10" s="95">
        <f t="shared" si="0"/>
        <v>7317.0731707317073</v>
      </c>
      <c r="L10" s="95">
        <f t="shared" si="1"/>
        <v>9000</v>
      </c>
      <c r="M10" s="74"/>
      <c r="N10" s="73"/>
      <c r="O10" s="66">
        <f>5000+4000</f>
        <v>9000</v>
      </c>
      <c r="P10" s="64"/>
      <c r="Q10" s="64"/>
    </row>
    <row r="11" spans="3:17" s="2" customFormat="1" ht="25.5">
      <c r="C11" s="10">
        <v>8</v>
      </c>
      <c r="D11" s="109" t="s">
        <v>33</v>
      </c>
      <c r="E11" s="109"/>
      <c r="F11" s="109"/>
      <c r="G11" s="14" t="s">
        <v>6</v>
      </c>
      <c r="H11" s="10" t="s">
        <v>21</v>
      </c>
      <c r="I11" s="13" t="s">
        <v>28</v>
      </c>
      <c r="J11" s="59"/>
      <c r="K11" s="95">
        <f t="shared" si="0"/>
        <v>1219.5121951219512</v>
      </c>
      <c r="L11" s="95">
        <f t="shared" si="1"/>
        <v>1500</v>
      </c>
      <c r="M11" s="74"/>
      <c r="N11" s="73"/>
      <c r="O11" s="66">
        <f>500+1000</f>
        <v>1500</v>
      </c>
    </row>
    <row r="12" spans="3:17" s="2" customFormat="1" ht="25.5">
      <c r="C12" s="10">
        <v>9</v>
      </c>
      <c r="D12" s="109" t="s">
        <v>57</v>
      </c>
      <c r="E12" s="109"/>
      <c r="F12" s="109"/>
      <c r="G12" s="14" t="s">
        <v>6</v>
      </c>
      <c r="H12" s="10" t="s">
        <v>21</v>
      </c>
      <c r="I12" s="13" t="s">
        <v>28</v>
      </c>
      <c r="J12" s="59"/>
      <c r="K12" s="95">
        <f t="shared" si="0"/>
        <v>13495.934959349594</v>
      </c>
      <c r="L12" s="95">
        <f t="shared" si="1"/>
        <v>16600</v>
      </c>
      <c r="M12" s="74"/>
      <c r="N12" s="73"/>
      <c r="O12" s="66">
        <f>6600+10000</f>
        <v>16600</v>
      </c>
    </row>
    <row r="13" spans="3:17" s="2" customFormat="1" ht="25.5">
      <c r="C13" s="10">
        <v>10</v>
      </c>
      <c r="D13" s="109" t="s">
        <v>58</v>
      </c>
      <c r="E13" s="109"/>
      <c r="F13" s="109"/>
      <c r="G13" s="14" t="s">
        <v>5</v>
      </c>
      <c r="H13" s="10" t="s">
        <v>21</v>
      </c>
      <c r="I13" s="13" t="s">
        <v>28</v>
      </c>
      <c r="J13" s="59"/>
      <c r="K13" s="95">
        <f t="shared" si="0"/>
        <v>6504.0650406504064</v>
      </c>
      <c r="L13" s="95">
        <f t="shared" si="1"/>
        <v>8000</v>
      </c>
      <c r="M13" s="74"/>
      <c r="N13" s="73"/>
      <c r="O13" s="66">
        <v>8000</v>
      </c>
    </row>
    <row r="14" spans="3:17" s="2" customFormat="1" ht="25.5">
      <c r="C14" s="10">
        <v>11</v>
      </c>
      <c r="D14" s="109" t="s">
        <v>59</v>
      </c>
      <c r="E14" s="109"/>
      <c r="F14" s="109"/>
      <c r="G14" s="14" t="s">
        <v>5</v>
      </c>
      <c r="H14" s="10" t="s">
        <v>21</v>
      </c>
      <c r="I14" s="13" t="s">
        <v>28</v>
      </c>
      <c r="J14" s="59"/>
      <c r="K14" s="95">
        <f t="shared" si="0"/>
        <v>4894.3089430894306</v>
      </c>
      <c r="L14" s="95">
        <f t="shared" si="1"/>
        <v>6020</v>
      </c>
      <c r="M14" s="74"/>
      <c r="N14" s="73"/>
      <c r="O14" s="66">
        <f>4320+500+1200</f>
        <v>6020</v>
      </c>
    </row>
    <row r="15" spans="3:17" s="2" customFormat="1" ht="25.5">
      <c r="C15" s="10">
        <v>12</v>
      </c>
      <c r="D15" s="100" t="s">
        <v>106</v>
      </c>
      <c r="E15" s="101"/>
      <c r="F15" s="102"/>
      <c r="G15" s="14" t="s">
        <v>5</v>
      </c>
      <c r="H15" s="10" t="s">
        <v>21</v>
      </c>
      <c r="I15" s="13" t="s">
        <v>28</v>
      </c>
      <c r="J15" s="59"/>
      <c r="K15" s="95">
        <f t="shared" si="0"/>
        <v>67440.650406504064</v>
      </c>
      <c r="L15" s="95">
        <f t="shared" si="1"/>
        <v>82952</v>
      </c>
      <c r="M15" s="74"/>
      <c r="N15" s="73"/>
      <c r="O15" s="66">
        <f>1500+72552+4800+3600+500</f>
        <v>82952</v>
      </c>
    </row>
    <row r="16" spans="3:17" s="2" customFormat="1" ht="25.5">
      <c r="C16" s="10">
        <v>13</v>
      </c>
      <c r="D16" s="116" t="s">
        <v>105</v>
      </c>
      <c r="E16" s="116"/>
      <c r="F16" s="116"/>
      <c r="G16" s="14" t="s">
        <v>5</v>
      </c>
      <c r="H16" s="10" t="s">
        <v>21</v>
      </c>
      <c r="I16" s="13" t="s">
        <v>28</v>
      </c>
      <c r="J16" s="59"/>
      <c r="K16" s="95">
        <f t="shared" si="0"/>
        <v>72520.32520325204</v>
      </c>
      <c r="L16" s="95">
        <f t="shared" si="1"/>
        <v>89200</v>
      </c>
      <c r="M16" s="74"/>
      <c r="N16" s="73"/>
      <c r="O16" s="66">
        <f>45000+40000+4200</f>
        <v>89200</v>
      </c>
    </row>
    <row r="17" spans="3:15" s="2" customFormat="1" ht="25.5">
      <c r="C17" s="10">
        <v>14</v>
      </c>
      <c r="D17" s="109" t="s">
        <v>60</v>
      </c>
      <c r="E17" s="109"/>
      <c r="F17" s="109"/>
      <c r="G17" s="14" t="s">
        <v>5</v>
      </c>
      <c r="H17" s="10" t="s">
        <v>21</v>
      </c>
      <c r="I17" s="13" t="s">
        <v>28</v>
      </c>
      <c r="J17" s="59"/>
      <c r="K17" s="95">
        <f t="shared" si="0"/>
        <v>6097.5609756097565</v>
      </c>
      <c r="L17" s="95">
        <f t="shared" si="1"/>
        <v>7500</v>
      </c>
      <c r="M17" s="74"/>
      <c r="N17" s="73"/>
      <c r="O17" s="66">
        <f>5000+2500</f>
        <v>7500</v>
      </c>
    </row>
    <row r="18" spans="3:15" s="2" customFormat="1" ht="25.5">
      <c r="C18" s="10">
        <v>15</v>
      </c>
      <c r="D18" s="109" t="s">
        <v>61</v>
      </c>
      <c r="E18" s="109"/>
      <c r="F18" s="109"/>
      <c r="G18" s="14" t="s">
        <v>5</v>
      </c>
      <c r="H18" s="10" t="s">
        <v>21</v>
      </c>
      <c r="I18" s="13" t="s">
        <v>28</v>
      </c>
      <c r="J18" s="59"/>
      <c r="K18" s="95">
        <f t="shared" si="0"/>
        <v>17560.975609756097</v>
      </c>
      <c r="L18" s="95">
        <f t="shared" si="1"/>
        <v>21600</v>
      </c>
      <c r="M18" s="74"/>
      <c r="N18" s="73"/>
      <c r="O18" s="66">
        <f>21600</f>
        <v>21600</v>
      </c>
    </row>
    <row r="19" spans="3:15" s="2" customFormat="1" ht="25.5">
      <c r="C19" s="10">
        <v>16</v>
      </c>
      <c r="D19" s="109" t="s">
        <v>62</v>
      </c>
      <c r="E19" s="109"/>
      <c r="F19" s="109"/>
      <c r="G19" s="14" t="s">
        <v>5</v>
      </c>
      <c r="H19" s="10" t="s">
        <v>21</v>
      </c>
      <c r="I19" s="13" t="s">
        <v>28</v>
      </c>
      <c r="J19" s="59"/>
      <c r="K19" s="95">
        <f t="shared" si="0"/>
        <v>4878.0487804878048</v>
      </c>
      <c r="L19" s="95">
        <f t="shared" si="1"/>
        <v>6000</v>
      </c>
      <c r="M19" s="74"/>
      <c r="N19" s="73"/>
      <c r="O19" s="66">
        <f>6000</f>
        <v>6000</v>
      </c>
    </row>
    <row r="20" spans="3:15" s="2" customFormat="1" ht="25.5">
      <c r="C20" s="10">
        <v>17</v>
      </c>
      <c r="D20" s="109" t="s">
        <v>63</v>
      </c>
      <c r="E20" s="109"/>
      <c r="F20" s="109"/>
      <c r="G20" s="14" t="s">
        <v>5</v>
      </c>
      <c r="H20" s="10" t="s">
        <v>21</v>
      </c>
      <c r="I20" s="13" t="s">
        <v>28</v>
      </c>
      <c r="J20" s="59"/>
      <c r="K20" s="95">
        <f t="shared" si="0"/>
        <v>6048.7804878048782</v>
      </c>
      <c r="L20" s="95">
        <f t="shared" si="1"/>
        <v>7440</v>
      </c>
      <c r="M20" s="74"/>
      <c r="N20" s="73"/>
      <c r="O20" s="66">
        <f>4320+3120</f>
        <v>7440</v>
      </c>
    </row>
    <row r="21" spans="3:15" s="2" customFormat="1" ht="25.5">
      <c r="C21" s="10">
        <v>18</v>
      </c>
      <c r="D21" s="109" t="s">
        <v>64</v>
      </c>
      <c r="E21" s="109"/>
      <c r="F21" s="109"/>
      <c r="G21" s="14" t="s">
        <v>5</v>
      </c>
      <c r="H21" s="10" t="s">
        <v>21</v>
      </c>
      <c r="I21" s="13" t="s">
        <v>28</v>
      </c>
      <c r="J21" s="59"/>
      <c r="K21" s="95">
        <f t="shared" si="0"/>
        <v>54146.341463414632</v>
      </c>
      <c r="L21" s="95">
        <f t="shared" si="1"/>
        <v>66600</v>
      </c>
      <c r="M21" s="74"/>
      <c r="N21" s="73"/>
      <c r="O21" s="66">
        <f>24000+600+42000</f>
        <v>66600</v>
      </c>
    </row>
    <row r="22" spans="3:15" s="2" customFormat="1" ht="25.5">
      <c r="C22" s="10">
        <v>19</v>
      </c>
      <c r="D22" s="109" t="s">
        <v>65</v>
      </c>
      <c r="E22" s="109"/>
      <c r="F22" s="109"/>
      <c r="G22" s="14" t="s">
        <v>6</v>
      </c>
      <c r="H22" s="10" t="s">
        <v>21</v>
      </c>
      <c r="I22" s="13" t="s">
        <v>28</v>
      </c>
      <c r="J22" s="59"/>
      <c r="K22" s="95">
        <f t="shared" si="0"/>
        <v>16378.861788617887</v>
      </c>
      <c r="L22" s="95">
        <f t="shared" si="1"/>
        <v>20146</v>
      </c>
      <c r="M22" s="74"/>
      <c r="N22" s="73"/>
      <c r="O22" s="66">
        <f>650+5300+1600+9000+3596</f>
        <v>20146</v>
      </c>
    </row>
    <row r="23" spans="3:15" s="2" customFormat="1" ht="25.5">
      <c r="C23" s="10">
        <v>20</v>
      </c>
      <c r="D23" s="109" t="s">
        <v>68</v>
      </c>
      <c r="E23" s="109"/>
      <c r="F23" s="109"/>
      <c r="G23" s="14" t="s">
        <v>5</v>
      </c>
      <c r="H23" s="10" t="s">
        <v>21</v>
      </c>
      <c r="I23" s="13" t="s">
        <v>28</v>
      </c>
      <c r="J23" s="59"/>
      <c r="K23" s="95">
        <f t="shared" si="0"/>
        <v>5691.0569105691056</v>
      </c>
      <c r="L23" s="95">
        <f t="shared" si="1"/>
        <v>7000</v>
      </c>
      <c r="M23" s="74"/>
      <c r="N23" s="73"/>
      <c r="O23" s="66">
        <v>7000</v>
      </c>
    </row>
    <row r="24" spans="3:15" s="2" customFormat="1" ht="25.5">
      <c r="C24" s="10">
        <v>21</v>
      </c>
      <c r="D24" s="100" t="s">
        <v>69</v>
      </c>
      <c r="E24" s="101"/>
      <c r="F24" s="102"/>
      <c r="G24" s="14" t="s">
        <v>5</v>
      </c>
      <c r="H24" s="10" t="s">
        <v>21</v>
      </c>
      <c r="I24" s="13" t="s">
        <v>28</v>
      </c>
      <c r="J24" s="59"/>
      <c r="K24" s="95">
        <f t="shared" si="0"/>
        <v>125736.58536585367</v>
      </c>
      <c r="L24" s="95">
        <f t="shared" si="1"/>
        <v>154656</v>
      </c>
      <c r="M24" s="74"/>
      <c r="N24" s="73"/>
      <c r="O24" s="66">
        <f>2400+16500+27000+1200+156+4000+1000+24000+10000+8400+24000+36000</f>
        <v>154656</v>
      </c>
    </row>
    <row r="25" spans="3:15" s="2" customFormat="1" ht="25.5">
      <c r="C25" s="10">
        <v>22</v>
      </c>
      <c r="D25" s="109" t="s">
        <v>70</v>
      </c>
      <c r="E25" s="109"/>
      <c r="F25" s="109"/>
      <c r="G25" s="14" t="s">
        <v>5</v>
      </c>
      <c r="H25" s="10" t="s">
        <v>21</v>
      </c>
      <c r="I25" s="13" t="s">
        <v>28</v>
      </c>
      <c r="J25" s="59"/>
      <c r="K25" s="95">
        <f t="shared" si="0"/>
        <v>5853.6585365853662</v>
      </c>
      <c r="L25" s="95">
        <f t="shared" si="1"/>
        <v>7200</v>
      </c>
      <c r="M25" s="74"/>
      <c r="N25" s="73"/>
      <c r="O25" s="66">
        <f>2640+2400+2160</f>
        <v>7200</v>
      </c>
    </row>
    <row r="26" spans="3:15" s="2" customFormat="1" ht="25.5">
      <c r="C26" s="10">
        <v>23</v>
      </c>
      <c r="D26" s="100" t="s">
        <v>122</v>
      </c>
      <c r="E26" s="101"/>
      <c r="F26" s="102"/>
      <c r="G26" s="14" t="s">
        <v>5</v>
      </c>
      <c r="H26" s="10" t="s">
        <v>21</v>
      </c>
      <c r="I26" s="13" t="s">
        <v>28</v>
      </c>
      <c r="J26" s="59"/>
      <c r="K26" s="95">
        <f t="shared" si="0"/>
        <v>4148.7804878048782</v>
      </c>
      <c r="L26" s="95">
        <f t="shared" si="1"/>
        <v>5103</v>
      </c>
      <c r="M26" s="74"/>
      <c r="N26" s="73"/>
      <c r="O26" s="66">
        <f>3000+303+1800</f>
        <v>5103</v>
      </c>
    </row>
    <row r="27" spans="3:15" ht="141.75" customHeight="1">
      <c r="C27" s="10">
        <v>24</v>
      </c>
      <c r="D27" s="106" t="s">
        <v>147</v>
      </c>
      <c r="E27" s="107"/>
      <c r="F27" s="108"/>
      <c r="G27" s="14" t="s">
        <v>5</v>
      </c>
      <c r="H27" s="85" t="s">
        <v>135</v>
      </c>
      <c r="I27" s="10" t="s">
        <v>140</v>
      </c>
      <c r="J27" s="92"/>
      <c r="K27" s="95">
        <f>L27</f>
        <v>114420</v>
      </c>
      <c r="L27" s="95">
        <f t="shared" si="1"/>
        <v>114420</v>
      </c>
      <c r="M27" s="75">
        <f>63000</f>
        <v>63000</v>
      </c>
      <c r="N27" s="67">
        <f>13000+24800+4390+4840+4390</f>
        <v>51420</v>
      </c>
      <c r="O27" s="86"/>
    </row>
    <row r="28" spans="3:15" ht="59.25" customHeight="1">
      <c r="C28" s="10">
        <v>25</v>
      </c>
      <c r="D28" s="106" t="s">
        <v>148</v>
      </c>
      <c r="E28" s="107"/>
      <c r="F28" s="108"/>
      <c r="G28" s="14" t="s">
        <v>5</v>
      </c>
      <c r="H28" s="10" t="s">
        <v>21</v>
      </c>
      <c r="I28" s="10"/>
      <c r="J28" s="92"/>
      <c r="K28" s="95">
        <f>L28</f>
        <v>9000</v>
      </c>
      <c r="L28" s="95">
        <f t="shared" si="1"/>
        <v>9000</v>
      </c>
      <c r="M28" s="75"/>
      <c r="N28" s="89">
        <f>4000+5000</f>
        <v>9000</v>
      </c>
      <c r="O28" s="86"/>
    </row>
    <row r="29" spans="3:15" ht="192.75" customHeight="1">
      <c r="C29" s="10">
        <v>26</v>
      </c>
      <c r="D29" s="106" t="s">
        <v>152</v>
      </c>
      <c r="E29" s="107"/>
      <c r="F29" s="108"/>
      <c r="G29" s="14" t="s">
        <v>5</v>
      </c>
      <c r="H29" s="134" t="s">
        <v>138</v>
      </c>
      <c r="I29" s="10" t="s">
        <v>140</v>
      </c>
      <c r="J29" s="143">
        <f>K29+K30+K31</f>
        <v>1076540</v>
      </c>
      <c r="K29" s="95">
        <f>SUM(L29:O29)</f>
        <v>73400</v>
      </c>
      <c r="L29" s="95"/>
      <c r="M29" s="75">
        <f>54000+5000+6400+8000</f>
        <v>73400</v>
      </c>
      <c r="N29" s="1"/>
      <c r="O29" s="93"/>
    </row>
    <row r="30" spans="3:15" ht="128.25" customHeight="1">
      <c r="C30" s="10">
        <v>27</v>
      </c>
      <c r="D30" s="140" t="s">
        <v>153</v>
      </c>
      <c r="E30" s="141"/>
      <c r="F30" s="142"/>
      <c r="G30" s="88" t="s">
        <v>5</v>
      </c>
      <c r="H30" s="135"/>
      <c r="I30" s="10" t="s">
        <v>140</v>
      </c>
      <c r="J30" s="144"/>
      <c r="K30" s="95">
        <f t="shared" ref="K30:K35" si="2">L30</f>
        <v>665280</v>
      </c>
      <c r="L30" s="95">
        <f t="shared" si="1"/>
        <v>665280</v>
      </c>
      <c r="M30" s="75">
        <v>542080</v>
      </c>
      <c r="N30" s="68">
        <v>123200</v>
      </c>
      <c r="O30" s="94"/>
    </row>
    <row r="31" spans="3:15" ht="139.5" customHeight="1">
      <c r="C31" s="10">
        <v>28</v>
      </c>
      <c r="D31" s="106" t="s">
        <v>149</v>
      </c>
      <c r="E31" s="107"/>
      <c r="F31" s="108"/>
      <c r="G31" s="88" t="s">
        <v>5</v>
      </c>
      <c r="H31" s="136"/>
      <c r="I31" s="10" t="s">
        <v>140</v>
      </c>
      <c r="J31" s="145"/>
      <c r="K31" s="95">
        <f t="shared" si="2"/>
        <v>337860</v>
      </c>
      <c r="L31" s="95">
        <f t="shared" si="1"/>
        <v>337860</v>
      </c>
      <c r="M31" s="91">
        <v>180000</v>
      </c>
      <c r="N31" s="80">
        <f>129360+28500</f>
        <v>157860</v>
      </c>
      <c r="O31" s="76"/>
    </row>
    <row r="32" spans="3:15" ht="139.5" customHeight="1">
      <c r="C32" s="10">
        <v>29</v>
      </c>
      <c r="D32" s="137" t="s">
        <v>154</v>
      </c>
      <c r="E32" s="138"/>
      <c r="F32" s="139"/>
      <c r="G32" s="88" t="s">
        <v>5</v>
      </c>
      <c r="H32" s="10" t="s">
        <v>21</v>
      </c>
      <c r="I32" s="10" t="s">
        <v>140</v>
      </c>
      <c r="J32" s="92"/>
      <c r="K32" s="95">
        <f t="shared" si="2"/>
        <v>69300</v>
      </c>
      <c r="L32" s="95">
        <f t="shared" si="1"/>
        <v>69300</v>
      </c>
      <c r="M32" s="90">
        <f>54600+14700</f>
        <v>69300</v>
      </c>
      <c r="N32" s="87"/>
      <c r="O32" s="76"/>
    </row>
    <row r="33" spans="3:15" ht="74.25" customHeight="1">
      <c r="C33" s="10">
        <v>30</v>
      </c>
      <c r="D33" s="110" t="s">
        <v>136</v>
      </c>
      <c r="E33" s="110"/>
      <c r="F33" s="110"/>
      <c r="G33" s="14" t="s">
        <v>5</v>
      </c>
      <c r="H33" s="10" t="s">
        <v>21</v>
      </c>
      <c r="I33" s="10" t="s">
        <v>140</v>
      </c>
      <c r="J33" s="92"/>
      <c r="K33" s="95">
        <f t="shared" si="2"/>
        <v>26000</v>
      </c>
      <c r="L33" s="95">
        <f t="shared" si="1"/>
        <v>26000</v>
      </c>
      <c r="M33" s="77"/>
      <c r="N33" s="68">
        <f>3000+23000</f>
        <v>26000</v>
      </c>
      <c r="O33" s="76"/>
    </row>
    <row r="34" spans="3:15" ht="114.75" customHeight="1">
      <c r="C34" s="10">
        <v>31</v>
      </c>
      <c r="D34" s="106" t="s">
        <v>137</v>
      </c>
      <c r="E34" s="107"/>
      <c r="F34" s="108"/>
      <c r="G34" s="14" t="s">
        <v>5</v>
      </c>
      <c r="H34" s="85" t="s">
        <v>135</v>
      </c>
      <c r="I34" s="10" t="s">
        <v>140</v>
      </c>
      <c r="J34" s="92"/>
      <c r="K34" s="95">
        <f t="shared" si="2"/>
        <v>72250</v>
      </c>
      <c r="L34" s="95">
        <f t="shared" si="1"/>
        <v>72250</v>
      </c>
      <c r="M34" s="78"/>
      <c r="N34" s="81">
        <f>38250+34000</f>
        <v>72250</v>
      </c>
      <c r="O34" s="76"/>
    </row>
    <row r="35" spans="3:15" ht="51" customHeight="1">
      <c r="C35" s="10">
        <v>32</v>
      </c>
      <c r="D35" s="106" t="s">
        <v>141</v>
      </c>
      <c r="E35" s="107"/>
      <c r="F35" s="108"/>
      <c r="G35" s="14" t="s">
        <v>5</v>
      </c>
      <c r="H35" s="10" t="s">
        <v>21</v>
      </c>
      <c r="I35" s="10" t="s">
        <v>140</v>
      </c>
      <c r="J35" s="92"/>
      <c r="K35" s="95">
        <f t="shared" si="2"/>
        <v>17500</v>
      </c>
      <c r="L35" s="95">
        <f t="shared" si="1"/>
        <v>17500</v>
      </c>
      <c r="M35" s="78"/>
      <c r="N35" s="82">
        <f>10500+7000</f>
        <v>17500</v>
      </c>
      <c r="O35" s="76"/>
    </row>
    <row r="36" spans="3:15" ht="51" customHeight="1">
      <c r="C36" s="10">
        <v>33</v>
      </c>
      <c r="D36" s="106" t="s">
        <v>142</v>
      </c>
      <c r="E36" s="107"/>
      <c r="F36" s="108"/>
      <c r="G36" s="14" t="s">
        <v>5</v>
      </c>
      <c r="H36" s="10" t="s">
        <v>21</v>
      </c>
      <c r="I36" s="10" t="s">
        <v>140</v>
      </c>
      <c r="J36" s="92"/>
      <c r="K36" s="95">
        <f t="shared" si="0"/>
        <v>3658.5365853658536</v>
      </c>
      <c r="L36" s="95">
        <f t="shared" si="1"/>
        <v>4500</v>
      </c>
      <c r="M36" s="78"/>
      <c r="N36" s="82">
        <v>4500</v>
      </c>
      <c r="O36" s="76"/>
    </row>
    <row r="37" spans="3:15" ht="51" customHeight="1">
      <c r="C37" s="10">
        <v>34</v>
      </c>
      <c r="D37" s="106" t="s">
        <v>143</v>
      </c>
      <c r="E37" s="107"/>
      <c r="F37" s="108"/>
      <c r="G37" s="14" t="s">
        <v>5</v>
      </c>
      <c r="H37" s="10" t="s">
        <v>21</v>
      </c>
      <c r="I37" s="10" t="s">
        <v>140</v>
      </c>
      <c r="J37" s="92"/>
      <c r="K37" s="95">
        <f t="shared" si="0"/>
        <v>5284.5528455284557</v>
      </c>
      <c r="L37" s="95">
        <f t="shared" si="1"/>
        <v>6500</v>
      </c>
      <c r="M37" s="78"/>
      <c r="N37" s="82">
        <f>2100+1400+1000+1000+1000</f>
        <v>6500</v>
      </c>
      <c r="O37" s="76"/>
    </row>
    <row r="38" spans="3:15" ht="51" customHeight="1">
      <c r="C38" s="10">
        <v>35</v>
      </c>
      <c r="D38" s="106" t="s">
        <v>74</v>
      </c>
      <c r="E38" s="107"/>
      <c r="F38" s="108"/>
      <c r="G38" s="14" t="s">
        <v>6</v>
      </c>
      <c r="H38" s="10" t="s">
        <v>21</v>
      </c>
      <c r="I38" s="10" t="s">
        <v>140</v>
      </c>
      <c r="J38" s="92"/>
      <c r="K38" s="95">
        <f t="shared" si="0"/>
        <v>5853.6585365853662</v>
      </c>
      <c r="L38" s="95">
        <f t="shared" si="1"/>
        <v>7200</v>
      </c>
      <c r="M38" s="78"/>
      <c r="N38" s="82">
        <v>7200</v>
      </c>
      <c r="O38" s="76"/>
    </row>
    <row r="39" spans="3:15" ht="73.5" customHeight="1">
      <c r="C39" s="10">
        <v>36</v>
      </c>
      <c r="D39" s="106" t="s">
        <v>145</v>
      </c>
      <c r="E39" s="107"/>
      <c r="F39" s="108"/>
      <c r="G39" s="14" t="s">
        <v>5</v>
      </c>
      <c r="H39" s="19" t="s">
        <v>138</v>
      </c>
      <c r="I39" s="10" t="s">
        <v>140</v>
      </c>
      <c r="J39" s="92"/>
      <c r="K39" s="95">
        <f>L39</f>
        <v>481700</v>
      </c>
      <c r="L39" s="95">
        <f t="shared" si="1"/>
        <v>481700</v>
      </c>
      <c r="M39" s="79">
        <v>248000</v>
      </c>
      <c r="N39" s="69">
        <v>233700</v>
      </c>
      <c r="O39" s="76"/>
    </row>
    <row r="40" spans="3:15" ht="37.5" customHeight="1">
      <c r="C40" s="10">
        <v>37</v>
      </c>
      <c r="D40" s="106" t="s">
        <v>146</v>
      </c>
      <c r="E40" s="107"/>
      <c r="F40" s="108"/>
      <c r="G40" s="14" t="s">
        <v>6</v>
      </c>
      <c r="H40" s="10" t="s">
        <v>21</v>
      </c>
      <c r="I40" s="10" t="s">
        <v>140</v>
      </c>
      <c r="J40" s="92"/>
      <c r="K40" s="95">
        <f t="shared" si="0"/>
        <v>8130.0813008130081</v>
      </c>
      <c r="L40" s="95">
        <f t="shared" si="1"/>
        <v>10000</v>
      </c>
      <c r="M40" s="79">
        <f>5000+5000</f>
        <v>10000</v>
      </c>
      <c r="N40" s="69"/>
      <c r="O40" s="76"/>
    </row>
    <row r="41" spans="3:15" ht="53.25" customHeight="1">
      <c r="C41" s="10">
        <v>38</v>
      </c>
      <c r="D41" s="106" t="s">
        <v>144</v>
      </c>
      <c r="E41" s="107"/>
      <c r="F41" s="108"/>
      <c r="G41" s="14"/>
      <c r="H41" s="10" t="s">
        <v>21</v>
      </c>
      <c r="I41" s="10" t="s">
        <v>140</v>
      </c>
      <c r="J41" s="10"/>
      <c r="K41" s="17">
        <f>L41</f>
        <v>12000</v>
      </c>
      <c r="L41" s="17">
        <f t="shared" si="1"/>
        <v>12000</v>
      </c>
      <c r="M41" s="78"/>
      <c r="N41" s="70">
        <v>12000</v>
      </c>
      <c r="O41" s="76"/>
    </row>
    <row r="42" spans="3:15">
      <c r="C42" s="31"/>
      <c r="D42" s="4"/>
      <c r="E42" s="4"/>
      <c r="F42" s="4"/>
      <c r="N42" s="84"/>
    </row>
    <row r="43" spans="3:15">
      <c r="C43" s="31"/>
      <c r="D43" s="4"/>
      <c r="E43" s="4"/>
      <c r="F43" s="4"/>
      <c r="N43" s="84"/>
    </row>
  </sheetData>
  <mergeCells count="44">
    <mergeCell ref="D38:F38"/>
    <mergeCell ref="D36:F36"/>
    <mergeCell ref="D41:F41"/>
    <mergeCell ref="D10:F10"/>
    <mergeCell ref="D33:F33"/>
    <mergeCell ref="D34:F34"/>
    <mergeCell ref="D39:F39"/>
    <mergeCell ref="D25:F25"/>
    <mergeCell ref="D26:F26"/>
    <mergeCell ref="D27:F27"/>
    <mergeCell ref="D29:F29"/>
    <mergeCell ref="D19:F19"/>
    <mergeCell ref="D20:F20"/>
    <mergeCell ref="D21:F21"/>
    <mergeCell ref="D22:F22"/>
    <mergeCell ref="D40:F40"/>
    <mergeCell ref="D35:F35"/>
    <mergeCell ref="D37:F37"/>
    <mergeCell ref="P9:Q9"/>
    <mergeCell ref="D11:F11"/>
    <mergeCell ref="D23:F23"/>
    <mergeCell ref="D24:F24"/>
    <mergeCell ref="D13:F13"/>
    <mergeCell ref="D14:F14"/>
    <mergeCell ref="D15:F15"/>
    <mergeCell ref="D16:F16"/>
    <mergeCell ref="D17:F17"/>
    <mergeCell ref="D18:F18"/>
    <mergeCell ref="D12:F12"/>
    <mergeCell ref="D32:F32"/>
    <mergeCell ref="D30:F30"/>
    <mergeCell ref="J29:J31"/>
    <mergeCell ref="C1:O1"/>
    <mergeCell ref="C2:O2"/>
    <mergeCell ref="D3:F3"/>
    <mergeCell ref="D4:F4"/>
    <mergeCell ref="D5:F5"/>
    <mergeCell ref="D28:F28"/>
    <mergeCell ref="D31:F31"/>
    <mergeCell ref="H29:H31"/>
    <mergeCell ref="D6:F6"/>
    <mergeCell ref="D7:F7"/>
    <mergeCell ref="D8:F8"/>
    <mergeCell ref="D9:F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Plan na 2022</vt:lpstr>
      <vt:lpstr>Plan na 2023</vt:lpstr>
      <vt:lpstr>Plan na 2024</vt:lpstr>
      <vt:lpstr>'Plan na 2022'!Obszar_wydruku</vt:lpstr>
      <vt:lpstr>'Plan na 2023'!Obszar_wydruku</vt:lpstr>
      <vt:lpstr>'Plan na 2024'!Obszar_wydruku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KSIEGOWA</dc:creator>
  <cp:lastModifiedBy>Patrycja</cp:lastModifiedBy>
  <cp:lastPrinted>2024-08-28T09:38:46Z</cp:lastPrinted>
  <dcterms:created xsi:type="dcterms:W3CDTF">2016-03-30T08:38:54Z</dcterms:created>
  <dcterms:modified xsi:type="dcterms:W3CDTF">2024-09-05T10:55:57Z</dcterms:modified>
</cp:coreProperties>
</file>